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Produkte\14_ProKilowatt\23_ProFrio3\02_Programmanagement\Anmeldeformular Website\"/>
    </mc:Choice>
  </mc:AlternateContent>
  <xr:revisionPtr revIDLastSave="0" documentId="13_ncr:1_{484A3CCA-BAFC-457A-A330-BD0D84052670}" xr6:coauthVersionLast="47" xr6:coauthVersionMax="47" xr10:uidLastSave="{00000000-0000-0000-0000-000000000000}"/>
  <workbookProtection workbookAlgorithmName="SHA-512" workbookHashValue="vZOZtw6euZGkw8PaBGFmmZC2RyDFzskGbwtWTnn4L53ezeCkTjLcwv+TMIMO3bloTZcvW13XvVHvUCGHrm+mmg==" workbookSaltValue="KgofdVcXkSsxIyKK7aKycg==" workbookSpinCount="100000" lockStructure="1"/>
  <bookViews>
    <workbookView xWindow="-120" yWindow="-120" windowWidth="29040" windowHeight="15720" xr2:uid="{00000000-000D-0000-FFFF-FFFF00000000}"/>
  </bookViews>
  <sheets>
    <sheet name="Anmeldung" sheetId="1" r:id="rId1"/>
    <sheet name="Sprachen" sheetId="17" state="hidden" r:id="rId2"/>
    <sheet name="Export" sheetId="7" state="hidden" r:id="rId3"/>
    <sheet name="Einsparungen_pauschal" sheetId="18" state="hidden" r:id="rId4"/>
  </sheets>
  <definedNames>
    <definedName name="_xlnm._FilterDatabase" localSheetId="1" hidden="1">Sprachen!$H$9:$K$9</definedName>
    <definedName name="andereMn">Anmeldung!#REF!</definedName>
    <definedName name="_xlnm.Print_Area" localSheetId="0">Anmeldung!$A$1:$H$58</definedName>
    <definedName name="Fremdforderung">Anmeldung!#REF!</definedName>
    <definedName name="Fremdförderung">Anmeldung!#REF!</definedName>
    <definedName name="Massn1">Anmeldung!#REF!</definedName>
    <definedName name="Massn2">Anmeldung!#REF!</definedName>
    <definedName name="Massn3">Anmeldung!#REF!</definedName>
    <definedName name="Massn4">Anmeldung!#REF!</definedName>
    <definedName name="Massn5" localSheetId="0">Anmeldung!$B$1:$H$54</definedName>
    <definedName name="Verpflichtung">Anmeldung!#REF!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F25" i="17"/>
  <c r="C23" i="1" s="1" a="1"/>
  <c r="C23" i="1" s="1"/>
  <c r="O25" i="1"/>
  <c r="AA2" i="17" s="1"/>
  <c r="P23" i="1" a="1"/>
  <c r="P23" i="1" s="1"/>
  <c r="I44" i="1"/>
  <c r="I39" i="1"/>
  <c r="M3" i="7"/>
  <c r="L3" i="7"/>
  <c r="K3" i="7"/>
  <c r="N3" i="7"/>
  <c r="O3" i="7"/>
  <c r="P24" i="1" l="1" a="1"/>
  <c r="P24" i="1" s="1"/>
  <c r="J24" i="1" l="1"/>
  <c r="M24" i="1"/>
  <c r="K24" i="1"/>
  <c r="N24" i="1"/>
  <c r="L24" i="1"/>
  <c r="I24" i="1"/>
  <c r="N23" i="1" l="1"/>
  <c r="M23" i="1"/>
  <c r="L23" i="1"/>
  <c r="K23" i="1"/>
  <c r="J23" i="1"/>
  <c r="I23" i="1"/>
  <c r="I26" i="1" l="1"/>
  <c r="D27" i="1" s="1"/>
  <c r="O23" i="1"/>
  <c r="Y3" i="7"/>
  <c r="X3" i="7"/>
  <c r="J3" i="7"/>
  <c r="I3" i="7"/>
  <c r="D3" i="7"/>
  <c r="C3" i="7"/>
  <c r="B3" i="7"/>
  <c r="A3" i="7"/>
  <c r="F33" i="1" l="1" a="1"/>
  <c r="F33" i="1" s="1"/>
  <c r="D34" i="1"/>
  <c r="C45" i="1" a="1"/>
  <c r="C45" i="1" s="1"/>
  <c r="C9" i="1" a="1"/>
  <c r="C14" i="1" a="1"/>
  <c r="C47" i="1" l="1" a="1"/>
  <c r="C47" i="1" s="1"/>
  <c r="C46" i="1" a="1"/>
  <c r="C46" i="1" s="1"/>
  <c r="B44" i="1" a="1"/>
  <c r="B44" i="1" s="1"/>
  <c r="C44" i="1" a="1"/>
  <c r="C44" i="1" s="1"/>
  <c r="B51" i="1" a="1"/>
  <c r="B51" i="1" s="1"/>
  <c r="C25" i="1" a="1"/>
  <c r="C25" i="1" s="1"/>
  <c r="C26" i="1" a="1"/>
  <c r="C26" i="1" s="1"/>
  <c r="C24" i="1" a="1"/>
  <c r="C24" i="1" s="1"/>
  <c r="C41" i="1" a="1"/>
  <c r="C41" i="1" s="1"/>
  <c r="B7" i="1" a="1"/>
  <c r="B7" i="1" s="1"/>
  <c r="C27" i="1" a="1"/>
  <c r="C27" i="1" s="1"/>
  <c r="B9" i="1" a="1"/>
  <c r="B9" i="1" s="1"/>
  <c r="C42" i="1" a="1"/>
  <c r="C42" i="1" s="1"/>
  <c r="G3" i="1" a="1"/>
  <c r="G3" i="1" s="1"/>
  <c r="G4" i="1" a="1"/>
  <c r="G4" i="1" s="1"/>
  <c r="C9" i="1"/>
  <c r="B39" i="1" a="1"/>
  <c r="B39" i="1" s="1"/>
  <c r="C39" i="1" a="1"/>
  <c r="C39" i="1" s="1"/>
  <c r="C40" i="1" a="1"/>
  <c r="C40" i="1" s="1"/>
  <c r="B30" i="1" a="1"/>
  <c r="B30" i="1" s="1"/>
  <c r="F18" i="1" a="1"/>
  <c r="F18" i="1" s="1"/>
  <c r="B33" i="1" a="1"/>
  <c r="B33" i="1" s="1"/>
  <c r="B49" i="1" a="1"/>
  <c r="B49" i="1" s="1"/>
  <c r="E36" i="1" a="1"/>
  <c r="E36" i="1" s="1"/>
  <c r="C14" i="1"/>
  <c r="D3" i="1" a="1"/>
  <c r="D3" i="1" s="1"/>
  <c r="B14" i="1" a="1"/>
  <c r="B14" i="1" s="1"/>
  <c r="C33" i="1" a="1"/>
  <c r="C33" i="1" l="1"/>
  <c r="D35" i="1" l="1"/>
  <c r="D36" i="1" s="1"/>
  <c r="D49" i="1" s="1"/>
  <c r="R3" i="7"/>
  <c r="S3" i="7" s="1"/>
  <c r="E3" i="7"/>
  <c r="F36" i="1" l="1" a="1"/>
  <c r="F36" i="1" s="1"/>
  <c r="F49" i="1" a="1"/>
  <c r="F49" i="1" s="1"/>
  <c r="F3" i="7"/>
  <c r="P3" i="7" l="1"/>
  <c r="Q3" i="7" l="1"/>
  <c r="U3" i="7" l="1"/>
  <c r="H3" i="7"/>
  <c r="G3" i="7"/>
  <c r="V3" i="7" l="1"/>
  <c r="T3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<sst xmlns="http://schemas.openxmlformats.org/spreadsheetml/2006/main" count="468" uniqueCount="309">
  <si>
    <t>Enerprice Partners AG</t>
  </si>
  <si>
    <t>Jahre</t>
  </si>
  <si>
    <t>CHF</t>
  </si>
  <si>
    <t>Investition</t>
  </si>
  <si>
    <t>Förderbedingungen</t>
  </si>
  <si>
    <t>Adresse</t>
  </si>
  <si>
    <t>Verbrauch (kWh) 
Vorher     Nachher</t>
  </si>
  <si>
    <t>Jährliche Einsparung (kWh/Jahr)</t>
  </si>
  <si>
    <t>Förderbeitrag (CHF)</t>
  </si>
  <si>
    <t>Investition (CHF)</t>
  </si>
  <si>
    <t>Payback (Jahren)</t>
  </si>
  <si>
    <t>Telefon</t>
  </si>
  <si>
    <t>E-Mail</t>
  </si>
  <si>
    <t>Payback (x&gt;4 Jahre)</t>
  </si>
  <si>
    <t>Kontaktdaten (Endbegünstigter)</t>
  </si>
  <si>
    <t>Energieeinsparung (Strom) [kWh]</t>
  </si>
  <si>
    <t>Reservierter Förderbeitrag</t>
  </si>
  <si>
    <t>IBAN</t>
  </si>
  <si>
    <t>Kommentar zum Antrag</t>
  </si>
  <si>
    <t>Einsparung WirkungsDauer (kWh/WD)</t>
  </si>
  <si>
    <t>PLZ Ort</t>
  </si>
  <si>
    <t>Berechnung</t>
  </si>
  <si>
    <t>Messung</t>
  </si>
  <si>
    <t xml:space="preserve"> </t>
  </si>
  <si>
    <t>Sprache</t>
  </si>
  <si>
    <t>DE</t>
  </si>
  <si>
    <t>FR</t>
  </si>
  <si>
    <t>IT</t>
  </si>
  <si>
    <t>Enregistrement d'un nouveau système d'air comprimé</t>
  </si>
  <si>
    <t>Registrazione di un nuovo sistema di aria compressa</t>
  </si>
  <si>
    <t>Registration of a new compressed air system</t>
  </si>
  <si>
    <t>Contact details (final beneficiary)</t>
  </si>
  <si>
    <t>Coordonnées (bénéficiaire final)</t>
  </si>
  <si>
    <t>Dati di contatto (beneficiario finale)</t>
  </si>
  <si>
    <t>EN</t>
  </si>
  <si>
    <t>calcul</t>
  </si>
  <si>
    <t>calcolo</t>
  </si>
  <si>
    <t>calculation</t>
  </si>
  <si>
    <t>Économies d'énergie (électricité) [kWh]</t>
  </si>
  <si>
    <t>Energy saving (electricity) [kWh]</t>
  </si>
  <si>
    <t>Risparmio energetico (elettricità) [kWh]</t>
  </si>
  <si>
    <t>anni</t>
  </si>
  <si>
    <t>years</t>
  </si>
  <si>
    <t>Funding conditions</t>
  </si>
  <si>
    <t>Condizioni di finanziamento</t>
  </si>
  <si>
    <t>Conditions de financement</t>
  </si>
  <si>
    <t>Investment</t>
  </si>
  <si>
    <t>Investimento</t>
  </si>
  <si>
    <t>Investissement</t>
  </si>
  <si>
    <t>Einsparung Stromkosten pro Jahr</t>
  </si>
  <si>
    <t>Savings in electricity costs per year</t>
  </si>
  <si>
    <t>Économies de coûts d'électricité par an</t>
  </si>
  <si>
    <t>Risparmio sui costi dell'energia elettrica all'anno</t>
  </si>
  <si>
    <t>Rimborso / Payback (x&gt;4 anni)</t>
  </si>
  <si>
    <t>Payback (x&gt;4 years)</t>
  </si>
  <si>
    <t>Remboursement /Payback (x&gt;4 ans)</t>
  </si>
  <si>
    <t>Contribution financière réservée</t>
  </si>
  <si>
    <t>Contributo di finanziamento riservato</t>
  </si>
  <si>
    <t>Reserved funding contribution</t>
  </si>
  <si>
    <t>Langue</t>
  </si>
  <si>
    <t>Lingua</t>
  </si>
  <si>
    <t>Language</t>
  </si>
  <si>
    <t>Kontaktperson Nachname</t>
  </si>
  <si>
    <t>Kontaktperson Vorname</t>
  </si>
  <si>
    <t>Massnahme</t>
  </si>
  <si>
    <t>Replacement 1 compressor</t>
  </si>
  <si>
    <t>Replacement of several compressors</t>
  </si>
  <si>
    <t>Replace compressed air dryer</t>
  </si>
  <si>
    <t>Investment in the compressed air network</t>
  </si>
  <si>
    <t>Compressed air control</t>
  </si>
  <si>
    <t>Anrede</t>
  </si>
  <si>
    <t>Herr</t>
  </si>
  <si>
    <t>Frau</t>
  </si>
  <si>
    <t>Monsieur</t>
  </si>
  <si>
    <t>Madame</t>
  </si>
  <si>
    <t>Signore</t>
  </si>
  <si>
    <t>Signora</t>
  </si>
  <si>
    <t>Mr</t>
  </si>
  <si>
    <t>Mrs</t>
  </si>
  <si>
    <t>JA</t>
  </si>
  <si>
    <t>NEIN</t>
  </si>
  <si>
    <t>OUI</t>
  </si>
  <si>
    <t>NO</t>
  </si>
  <si>
    <t>YES</t>
  </si>
  <si>
    <t>NON</t>
  </si>
  <si>
    <t>SI</t>
  </si>
  <si>
    <t>janein</t>
  </si>
  <si>
    <t>Kontaktdaten</t>
  </si>
  <si>
    <t xml:space="preserve">Adresse </t>
  </si>
  <si>
    <t>Einsparungen</t>
  </si>
  <si>
    <t>Basis Einsparberechnung</t>
  </si>
  <si>
    <t>Base de calcul des économies</t>
  </si>
  <si>
    <t>Calcolo del risparmio di base</t>
  </si>
  <si>
    <t>Basis savings calculation</t>
  </si>
  <si>
    <t>sonstiges</t>
  </si>
  <si>
    <t>Risparmio</t>
  </si>
  <si>
    <t>Économies</t>
  </si>
  <si>
    <t xml:space="preserve">Savings </t>
  </si>
  <si>
    <t>Spaltenzahl</t>
  </si>
  <si>
    <t>Treffen nachfolgende Punkte zu?</t>
  </si>
  <si>
    <t>Kontrolle der Anforderungen</t>
  </si>
  <si>
    <t>KontrolleAnforderungen</t>
  </si>
  <si>
    <t>Les points suivants s'appliquent-ils?</t>
  </si>
  <si>
    <t>Do the following points apply?</t>
  </si>
  <si>
    <t>Si applicano i seguenti punti?</t>
  </si>
  <si>
    <t>Contrôle des exigences</t>
  </si>
  <si>
    <t>Control of the requirements</t>
  </si>
  <si>
    <t>Controllo dei requisiti</t>
  </si>
  <si>
    <t>Kommentar</t>
  </si>
  <si>
    <t xml:space="preserve">Commentaire </t>
  </si>
  <si>
    <t>Commento</t>
  </si>
  <si>
    <t>Comment</t>
  </si>
  <si>
    <t>années</t>
  </si>
  <si>
    <t>Vermittler</t>
  </si>
  <si>
    <t>Platz 10, 6039 Root D4</t>
  </si>
  <si>
    <t>Formular einreichen/hochladen:</t>
  </si>
  <si>
    <t>Soumettre/télécharger le formulaire :</t>
  </si>
  <si>
    <t>Submit/upload form:</t>
  </si>
  <si>
    <t>Inviare/caricare il modulo:</t>
  </si>
  <si>
    <t>Intermediary (optional)</t>
  </si>
  <si>
    <t>Hinweise</t>
  </si>
  <si>
    <t>Die Investition ist zu hoch, kontaktieren Sie uns</t>
  </si>
  <si>
    <t>Der Payback ist zu tief, keine Förderung</t>
  </si>
  <si>
    <t>Bitte Anforderungen bestätigen</t>
  </si>
  <si>
    <t>Le retour sur investissement est trop faible, pas de promotion</t>
  </si>
  <si>
    <t>The payback is too low, no promotion</t>
  </si>
  <si>
    <t>Il ritorno è troppo basso, nessuna promozione</t>
  </si>
  <si>
    <t>L'investimento è troppo alto, contattaci</t>
  </si>
  <si>
    <t>The investment is too high, contact us</t>
  </si>
  <si>
    <t>L'investissement est trop élevé, contactez-nous</t>
  </si>
  <si>
    <t>Veuillez confirmer vos besoins</t>
  </si>
  <si>
    <t>Please confirm requirements</t>
  </si>
  <si>
    <t>select</t>
  </si>
  <si>
    <t>Förder- bedingungen</t>
  </si>
  <si>
    <t>Eingabe</t>
  </si>
  <si>
    <t>Dropdown</t>
  </si>
  <si>
    <t>Input</t>
  </si>
  <si>
    <t>- Für diese Massnahme besteht keine Verpflichtung, z.B. in Zielvereinbarung ZV (EnAW, ACT)</t>
  </si>
  <si>
    <t>- There is no obligation for this measure, e.g. target agreement (EnAW, ACT)</t>
  </si>
  <si>
    <t>-Non c'è nessun obbligo per questa misura, p.e. in un accordo obiettivo (EnAW, ACT)</t>
  </si>
  <si>
    <t>- Il n'y a pas d'obligation pour cette mesure, p.e. dans une convention d'objectifs (AEnEC, ACT)</t>
  </si>
  <si>
    <t>- Aucune autre subvention n'est demandée pour cette mesure</t>
  </si>
  <si>
    <t xml:space="preserve">- Non sono richiesti altri sussidi per la misura </t>
  </si>
  <si>
    <t xml:space="preserve">- No other subsidies are claimed for the measure </t>
  </si>
  <si>
    <t>- Die Investition ist zum Zeitpunkt der Antragstellung noch nicht bestellt</t>
  </si>
  <si>
    <t xml:space="preserve">- L'investimento non è ancora stato ordinato al momento della domanda </t>
  </si>
  <si>
    <t>- L'investissement n'a pas encore été commandé au moment de la demande</t>
  </si>
  <si>
    <t>- The investment has not yet been ordered at the time of application</t>
  </si>
  <si>
    <t>quota massima di sovvenzione (30% dell'investimento)</t>
  </si>
  <si>
    <t>max. subsidy (30% of the investment)</t>
  </si>
  <si>
    <t>Part maximale de subvention (30% de l'investissement)</t>
  </si>
  <si>
    <t>max. Förderbeitrag (30% der Investition)</t>
  </si>
  <si>
    <t>Vorname</t>
  </si>
  <si>
    <t>prénom</t>
  </si>
  <si>
    <t>first name</t>
  </si>
  <si>
    <t>nome</t>
  </si>
  <si>
    <t>Name</t>
  </si>
  <si>
    <t>Nom</t>
  </si>
  <si>
    <t>Nome</t>
  </si>
  <si>
    <t>Datum</t>
  </si>
  <si>
    <t>Data</t>
  </si>
  <si>
    <t>Date</t>
  </si>
  <si>
    <t>Address</t>
  </si>
  <si>
    <t>L'indirizzo</t>
  </si>
  <si>
    <t>Code postal Ville</t>
  </si>
  <si>
    <t>Codice postale Città</t>
  </si>
  <si>
    <t>Postcode City</t>
  </si>
  <si>
    <t>Salutation</t>
  </si>
  <si>
    <t>Saluto</t>
  </si>
  <si>
    <t>Kontaktperson Name</t>
  </si>
  <si>
    <t>Nome della persona di contatto</t>
  </si>
  <si>
    <t>Contact person name</t>
  </si>
  <si>
    <t>Nom de la personne de contact</t>
  </si>
  <si>
    <t>Téléphone</t>
  </si>
  <si>
    <t>Telefono</t>
  </si>
  <si>
    <t>Phone</t>
  </si>
  <si>
    <t>Email</t>
  </si>
  <si>
    <t>Courrier électronique</t>
  </si>
  <si>
    <t>IBAN (Banknummer)</t>
  </si>
  <si>
    <t>IBAN (numero della banca)</t>
  </si>
  <si>
    <t>IBAN (bank number)</t>
  </si>
  <si>
    <t>IBAN (numéro de banque)</t>
  </si>
  <si>
    <t>Mesure</t>
  </si>
  <si>
    <t>Misura</t>
  </si>
  <si>
    <t>Measure</t>
  </si>
  <si>
    <t>Jahresverbrauch vorher [kWh]</t>
  </si>
  <si>
    <t>Consommation annuelle avant [kWh]</t>
  </si>
  <si>
    <t>Consumo annuo prima di [kWh]</t>
  </si>
  <si>
    <t>Consumo annuo dopo [kWh]</t>
  </si>
  <si>
    <t>Annual consumption before [kWh]</t>
  </si>
  <si>
    <t>Annual consumption after [kWh]</t>
  </si>
  <si>
    <t>Jahresverbrauch nachher [kWh]</t>
  </si>
  <si>
    <t>Consommation annuelle après [kWh]</t>
  </si>
  <si>
    <t>Firma</t>
  </si>
  <si>
    <t>Potenza del compressore &lt;15 kW [kW]</t>
  </si>
  <si>
    <t xml:space="preserve">Compressor power &lt;15 kW [kW] </t>
  </si>
  <si>
    <t>Eestimations basées sur les performances</t>
  </si>
  <si>
    <t>stime basate sulla performance</t>
  </si>
  <si>
    <t>estimates based on performance</t>
  </si>
  <si>
    <t>Société</t>
  </si>
  <si>
    <t>Compagnia</t>
  </si>
  <si>
    <t>Company</t>
  </si>
  <si>
    <t>Leistung kleiner 5 kW!</t>
  </si>
  <si>
    <t>Potenza inferiore a 5 kW!</t>
  </si>
  <si>
    <t>Une puissance inférieure à 5 kW !</t>
  </si>
  <si>
    <t>Power less than 5 kW!</t>
  </si>
  <si>
    <t>Formular und nachvollziehbare Berechnung einreichen/hochladen:</t>
  </si>
  <si>
    <t>Formulaire de soumission/téléchargement et calcul compréhensible:</t>
  </si>
  <si>
    <t>Submit/upload form and comprehensible calculation:</t>
  </si>
  <si>
    <t>Invia/carica modulo e calcolo comprensibile:</t>
  </si>
  <si>
    <t>Anmeldung einer Kälteanlage</t>
  </si>
  <si>
    <t>M1 Ersatz Kältemaschine mit Leistungsgarantie</t>
  </si>
  <si>
    <t>M2 Zusatzinvestition Bedarfsabtaung</t>
  </si>
  <si>
    <t xml:space="preserve">M3 Verriegelung Verdichter (Kühlstellenregulierung) </t>
  </si>
  <si>
    <t xml:space="preserve">M4 Ersatz/Einsatz Verdichter mit FU (Kühlstellenregulierung) </t>
  </si>
  <si>
    <t>M6 Ersatz Rückkühlwerk / Einsatz bedarfsgerechte Rückkühlventilatoren</t>
  </si>
  <si>
    <t>Pauschaleinsparung anhand Leistung</t>
  </si>
  <si>
    <t>Leistung</t>
  </si>
  <si>
    <t>klein - bis 10kW</t>
  </si>
  <si>
    <t>mittel - bis  100kW</t>
  </si>
  <si>
    <t>gross - über 200kW</t>
  </si>
  <si>
    <t>small - up to 10kW</t>
  </si>
  <si>
    <t>medium - up to 100kW</t>
  </si>
  <si>
    <t>big - up to 10kW</t>
  </si>
  <si>
    <t xml:space="preserve">Puissance du refroidissement [kW] </t>
  </si>
  <si>
    <t xml:space="preserve">- Es werden keine weiteren Fördergelder für die Massnahme beansprucht </t>
  </si>
  <si>
    <t>Einsparung M2</t>
  </si>
  <si>
    <t>M1,M7,M8</t>
  </si>
  <si>
    <t>M2</t>
  </si>
  <si>
    <t>M3</t>
  </si>
  <si>
    <t>M4</t>
  </si>
  <si>
    <t>M5</t>
  </si>
  <si>
    <t>M6</t>
  </si>
  <si>
    <t>Summe</t>
  </si>
  <si>
    <t>Messung2</t>
  </si>
  <si>
    <t>-</t>
  </si>
  <si>
    <t>Kälteleistung [kW]</t>
  </si>
  <si>
    <t>Pauschaleinsparungen</t>
  </si>
  <si>
    <t>klein</t>
  </si>
  <si>
    <t>mittel</t>
  </si>
  <si>
    <t>gross</t>
  </si>
  <si>
    <t>Sie können die Berechnungshilfe unter folgendem Link verwenden</t>
  </si>
  <si>
    <t>M1 Refroidisseur de remplacement avec garantie de performance</t>
  </si>
  <si>
    <t>M1 Refrigeratore sostitutivo con garanzia di prestazione</t>
  </si>
  <si>
    <t>M2 Investimenti aggiuntivi nella riduzione della domanda</t>
  </si>
  <si>
    <t>M2 Investissement supplémentaire dans la réduction de la demande</t>
  </si>
  <si>
    <t>M3 Blocage du compresseur (régulation de la réfrigération)</t>
  </si>
  <si>
    <t>M6 Sostituzione dell'impianto di raffreddamento / uso di ventilatori di raffreddamento orientati alla domanda</t>
  </si>
  <si>
    <t>Vous pouvez utiliser l'aide au calcul sous le lien suivant</t>
  </si>
  <si>
    <t>Potete usare l'aiuto al calcolo al seguente link</t>
  </si>
  <si>
    <t>profrio@enerprice-partners.ch</t>
  </si>
  <si>
    <t>Antragsteller</t>
  </si>
  <si>
    <t>Demandeur</t>
  </si>
  <si>
    <t>Richiedente</t>
  </si>
  <si>
    <t>Antragsteller Name</t>
  </si>
  <si>
    <t>Antragsteller Telefon</t>
  </si>
  <si>
    <t>Antragsteller Firma</t>
  </si>
  <si>
    <t>Antragsteller Email</t>
  </si>
  <si>
    <t>Formular einreichen</t>
  </si>
  <si>
    <t>M6 Remplacement de la centrale de refroidissement / utilisation de ventilateurs de refroidissement orientés vers la demande</t>
  </si>
  <si>
    <t>M4 Remplacement/utilisation du compresseur par un convertisseur de fréquence (régulation de la réfrigération)</t>
  </si>
  <si>
    <t>M3 Interblocco del compressore (regolazione della refrigerazione)</t>
  </si>
  <si>
    <t>M4 Sostituzione/utilizzo del compressore con convertitore di frequenza (regolazione della refrigerazione)</t>
  </si>
  <si>
    <t>M5 Ersatz thermostatisches Expansionsventil durch elektronisches Expansionsventil</t>
  </si>
  <si>
    <t>M5 Remplacement du détendeur thermostatique par un détendeur électronique</t>
  </si>
  <si>
    <t>M5 Sostituzione della valvola di espansione termostatica con una valvola di espansione elettronica</t>
  </si>
  <si>
    <t>M7 Ersatz von Verdichtern und /oder Motoren</t>
  </si>
  <si>
    <t>M8 Einsatz von Freecooling</t>
  </si>
  <si>
    <t>M7 Remplacement des compresseurs et / ou des moteurs</t>
  </si>
  <si>
    <t>M8 Utilisation du freecooling</t>
  </si>
  <si>
    <t>M7 Sostituzione di compressori e/o motori</t>
  </si>
  <si>
    <t>M8 Uso del freecooling</t>
  </si>
  <si>
    <t>- Bei Motorenersatz: 0.12kW-0.75kW: IE3 oder besser</t>
  </si>
  <si>
    <t>- Darf gemäss ChemRRV das Kältemittel der bestehenden Anlage noch nachgefüllt werden?</t>
  </si>
  <si>
    <t>-Selon l'ORRChim, le fluide frigorigène de l'installation existante peut-il encore être rechargé ?</t>
  </si>
  <si>
    <t>-Secondo la ChemRRV, il refrigerante dell'impianto esistente può essere ancora ricaricato?</t>
  </si>
  <si>
    <t>-According to the ChemRRV, may the refrigerant of the existing system still be refilled?</t>
  </si>
  <si>
    <t>- Beim Ersatz der Klimakälteanlage: werden für Klimakälteanlagen die Anforderung an den EER eingehalten? (vgl. Tabellen rechts)</t>
  </si>
  <si>
    <t>- When replacing the motor: does the motor have an efficiency class of IE4 or better? (if motor can be measured separately)</t>
  </si>
  <si>
    <t>- En cas de remplacement du moteur : le moteur a-t-il une classe d'efficacité de IE4 ou supérieure ? (si le moteur peut être mesuré séparément)</t>
  </si>
  <si>
    <t>-Quando si sostituisce il motore: il motore ha una classe di efficienza IE4 o superiore? (se il motore può essere misurato separatamente)</t>
  </si>
  <si>
    <t>- Quando si sostituisce il sistema di refrigerazione dell'aria condizionata: sono soddisfatti i requisiti EER per i sistemi di refrigerazione dell'aria condizionata? (cfr. tabelle a destra)</t>
  </si>
  <si>
    <t>-En cas de remplacement de l'installation de climatisation : les exigences relatives à l'EER sont-elles respectées pour les installations de climatisation ? (voir tableaux à droite)</t>
  </si>
  <si>
    <t>-When replacing the air-conditioning refrigeration system: are the EER requirements met for air-conditioning refrigeration systems? (cf. tables on the right)</t>
  </si>
  <si>
    <t>Unterlagen</t>
  </si>
  <si>
    <t>Folgende Unterlagen müssen mit dem Antrag eingereicht werden:
-Datenblatt/Typenschild der bestehenden Kälteanlage
-Datenblatt der neuen Kälteanlage
-Berechnung der Einsparungen (Kältetool oder eigenes Dokument)</t>
  </si>
  <si>
    <t>M1</t>
  </si>
  <si>
    <t>M7</t>
  </si>
  <si>
    <t>M8</t>
  </si>
  <si>
    <t>Folgende Unterlagen müssen mit dem Antrag eingereicht werden:
-Falls eigene Berechnung erstellt wurde, muss diese mitgesendet werden</t>
  </si>
  <si>
    <t>Folgende Unterlagen müssen mit dem Antrag eingereicht werden:
-Falls eigene Berechnung erstellt wurde muss diese mitgesendet werden
-Massnahme für Anlagen mit einer Kälteleistung grösser als 100 kW nicht förderbar</t>
  </si>
  <si>
    <t>- Beim Ersatz des Motors: hat der Motor eine EU-Effizienzklasse von IE4 oder besser? (falls Motor separat gemessen werden kann)</t>
  </si>
  <si>
    <t>Folgende Unterlagen müssen mit dem Antrag eingereicht werden:
-Falls eigene Berechnung erstellt wurde, muss diese mitgesendet werden
-Datenblatt Motor(en) (Bedingung unter Zeile 44 zur Kontrolle der Anforderungen)
-bei Komplettersatz Nachweis dt Rückkühler zu Umgebung (max. 10K trocken und 8K feucht)</t>
  </si>
  <si>
    <t>Folgende Unterlagen müssen mit dem Antrag eingereicht werden:
-Berechnung der Einsparungen
-Datenblatt Motor(en) (Bedingung unter Zeile 44 zur Kontrolle der Anforderungen)</t>
  </si>
  <si>
    <t>The following documents must be submitted with the application:
-Data sheet/type plate of the existing refrigeration system
-Data sheet for the new refrigeration system
-Calculation of the savings (refrigeration tool or own document)</t>
  </si>
  <si>
    <t>The following documents must be submitted with the application:
-If you have prepared your own calculation, this must also be submitted</t>
  </si>
  <si>
    <t>Les documents suivants doivent être joints à la demande :
-Si vous avez effectué votre propre calcul, il doit être joint à la demande.</t>
  </si>
  <si>
    <t>La domanda deve essere accompagnata dai seguenti documenti:
-Se avete preparato un vostro calcolo, anche questo deve essere presentato</t>
  </si>
  <si>
    <t>La domanda deve essere accompagnata dai seguenti documenti:
-Se avete preparato un vostro calcolo, è necessario presentare anche questo.
-Misura per impianti con potenza frigorifera superiore a 100 kW non ammissibile al finanziamento</t>
  </si>
  <si>
    <t>La domanda deve essere accompagnata dai seguenti documenti:
-Se il cliente ha preparato un proprio calcolo, è necessario presentare anche questo.
-Scheda tecnica del motore (condizione alla riga 44 per la verifica dei requisiti).
-in caso di sostituzione completa, prova del raffreddamento dt all'ambiente (max. 10K a secco e 8K a umido)</t>
  </si>
  <si>
    <t>La domanda deve essere accompagnata dai seguenti documenti:
-Calcolo del risparmio
-Scheda tecnica del/i motore/i (condizione alla riga 44 per la verifica dei requisiti)</t>
  </si>
  <si>
    <t>La domanda deve essere accompagnata dai seguenti documenti:
-Scheda tecnica/tipologica dell'impianto di refrigerazione esistente
-scheda tecnica del nuovo impianto di refrigerazione
-Calcolo del risparmio (strumento per la refrigerazione o documento proprio)</t>
  </si>
  <si>
    <t>The following documents must be submitted with the application:
-If you have prepared your own calculation, this must also be submitted
-Measure not eligible for systems with a cooling capacity greater than 100 kW</t>
  </si>
  <si>
    <t>The following documents must be submitted with the application:
-If you have prepared your own calculation, this must also be submitted
-Motor(s) data sheet (condition under line 44 for checking the requirements)
-in the case of complete replacement, proof of dt recooler to ambient (max. 10K dry and 8K humid)</t>
  </si>
  <si>
    <t>The following documents must be submitted with the application:
-Calculation of savings
-Motor(s) data sheet (condition under line 44 for checking the requirements)</t>
  </si>
  <si>
    <t>Les documents suivants doivent être joints à la demande :
-calcul des économies
-Fiche(s) technique(s) moteur(s) (condition sous la ligne 44 pour le contrôle des exigences)</t>
  </si>
  <si>
    <t>Les documents suivants doivent être joints à la demande :
-Si un calcul propre a été effectué, il doit être envoyé.
-Fiche technique du/des moteur(s) (condition sous la ligne 44 pour le contrôle des exigences)
-En cas de remplacement complet, justificatif dt refroidisseur de retour par rapport à l'environnement (max. 10K sec et 8K humide)</t>
  </si>
  <si>
    <t>Les documents suivants doivent être joints à la demande :
Si vous avez effectué vos propres calculs, ceux-ci doivent être joints à la demande.
-Mesure non subventionnable pour les installations d'une puissance frigorifique supérieure à 100 kW.</t>
  </si>
  <si>
    <t>Les documents suivants doivent être joints à la demande :
-fiche technique/plaque signalétique de l'installation frigorifique existante
-fiche technique de la nouvelle installation frigorifique
-calcul des économies (Kältetool ou document personnel)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</si>
</sst>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9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8F5F8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5" fillId="4" borderId="5" applyNumberFormat="0" applyAlignment="0" applyProtection="0"/>
    <xf numFmtId="0" fontId="6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6" borderId="10" applyNumberFormat="0" applyAlignment="0" applyProtection="0"/>
    <xf numFmtId="0" fontId="8" fillId="5" borderId="0" applyNumberFormat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9" borderId="0" applyNumberFormat="0" applyBorder="0" applyAlignment="0" applyProtection="0"/>
    <xf numFmtId="9" fontId="6" fillId="0" borderId="0" applyFont="0" applyFill="0" applyBorder="0" applyAlignment="0" applyProtection="0"/>
    <xf numFmtId="0" fontId="25" fillId="0" borderId="0">
      <protection locked="0"/>
    </xf>
  </cellStyleXfs>
  <cellXfs count="12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/>
    <xf numFmtId="0" fontId="14" fillId="0" borderId="1" xfId="0" applyFont="1" applyBorder="1"/>
    <xf numFmtId="0" fontId="12" fillId="0" borderId="0" xfId="0" applyFont="1"/>
    <xf numFmtId="0" fontId="12" fillId="0" borderId="4" xfId="0" applyFont="1" applyBorder="1"/>
    <xf numFmtId="0" fontId="0" fillId="0" borderId="1" xfId="0" applyBorder="1"/>
    <xf numFmtId="0" fontId="17" fillId="0" borderId="0" xfId="0" applyFont="1"/>
    <xf numFmtId="0" fontId="0" fillId="3" borderId="1" xfId="0" applyFill="1" applyBorder="1"/>
    <xf numFmtId="1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14" fontId="0" fillId="0" borderId="1" xfId="0" applyNumberFormat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left" wrapText="1"/>
    </xf>
    <xf numFmtId="3" fontId="1" fillId="2" borderId="1" xfId="0" applyNumberFormat="1" applyFont="1" applyFill="1" applyBorder="1" applyAlignment="1">
      <alignment wrapText="1"/>
    </xf>
    <xf numFmtId="3" fontId="12" fillId="2" borderId="1" xfId="0" applyNumberFormat="1" applyFont="1" applyFill="1" applyBorder="1"/>
    <xf numFmtId="0" fontId="0" fillId="0" borderId="9" xfId="0" applyBorder="1" applyAlignment="1">
      <alignment horizontal="left" wrapText="1"/>
    </xf>
    <xf numFmtId="0" fontId="12" fillId="0" borderId="0" xfId="0" applyFont="1" applyProtection="1">
      <protection locked="0" hidden="1"/>
    </xf>
    <xf numFmtId="0" fontId="12" fillId="0" borderId="1" xfId="0" applyFont="1" applyBorder="1" applyAlignment="1">
      <alignment horizontal="right"/>
    </xf>
    <xf numFmtId="0" fontId="0" fillId="0" borderId="0" xfId="0" quotePrefix="1"/>
    <xf numFmtId="0" fontId="0" fillId="0" borderId="19" xfId="0" applyBorder="1"/>
    <xf numFmtId="0" fontId="21" fillId="11" borderId="20" xfId="0" applyFont="1" applyFill="1" applyBorder="1"/>
    <xf numFmtId="0" fontId="0" fillId="12" borderId="21" xfId="0" applyFill="1" applyBorder="1"/>
    <xf numFmtId="0" fontId="21" fillId="11" borderId="22" xfId="0" applyFont="1" applyFill="1" applyBorder="1"/>
    <xf numFmtId="0" fontId="21" fillId="11" borderId="23" xfId="0" applyFont="1" applyFill="1" applyBorder="1"/>
    <xf numFmtId="0" fontId="0" fillId="10" borderId="18" xfId="0" applyFill="1" applyBorder="1"/>
    <xf numFmtId="0" fontId="0" fillId="12" borderId="19" xfId="0" applyFill="1" applyBorder="1"/>
    <xf numFmtId="0" fontId="12" fillId="10" borderId="0" xfId="0" applyFont="1" applyFill="1"/>
    <xf numFmtId="0" fontId="0" fillId="10" borderId="0" xfId="0" applyFill="1"/>
    <xf numFmtId="0" fontId="18" fillId="10" borderId="0" xfId="0" applyFont="1" applyFill="1" applyAlignment="1">
      <alignment vertical="center"/>
    </xf>
    <xf numFmtId="0" fontId="5" fillId="13" borderId="4" xfId="2" applyFill="1" applyBorder="1" applyAlignment="1" applyProtection="1">
      <alignment vertical="center" wrapText="1"/>
      <protection locked="0"/>
    </xf>
    <xf numFmtId="0" fontId="5" fillId="14" borderId="1" xfId="2" applyFill="1" applyBorder="1" applyAlignment="1" applyProtection="1">
      <alignment horizontal="left" vertical="center" wrapText="1"/>
      <protection locked="0"/>
    </xf>
    <xf numFmtId="3" fontId="5" fillId="13" borderId="1" xfId="2" applyNumberFormat="1" applyFill="1" applyBorder="1" applyAlignment="1" applyProtection="1">
      <protection locked="0"/>
    </xf>
    <xf numFmtId="164" fontId="12" fillId="13" borderId="1" xfId="0" applyNumberFormat="1" applyFont="1" applyFill="1" applyBorder="1"/>
    <xf numFmtId="0" fontId="0" fillId="13" borderId="1" xfId="0" applyFill="1" applyBorder="1"/>
    <xf numFmtId="0" fontId="0" fillId="14" borderId="1" xfId="0" applyFill="1" applyBorder="1"/>
    <xf numFmtId="0" fontId="5" fillId="14" borderId="1" xfId="2" applyFill="1" applyBorder="1" applyAlignment="1" applyProtection="1">
      <alignment horizontal="center"/>
      <protection locked="0"/>
    </xf>
    <xf numFmtId="1" fontId="0" fillId="3" borderId="1" xfId="0" applyNumberFormat="1" applyFill="1" applyBorder="1"/>
    <xf numFmtId="0" fontId="0" fillId="14" borderId="6" xfId="0" applyFill="1" applyBorder="1" applyProtection="1">
      <protection locked="0"/>
    </xf>
    <xf numFmtId="0" fontId="4" fillId="10" borderId="0" xfId="0" applyFont="1" applyFill="1"/>
    <xf numFmtId="0" fontId="16" fillId="10" borderId="0" xfId="0" applyFont="1" applyFill="1"/>
    <xf numFmtId="0" fontId="20" fillId="10" borderId="0" xfId="0" applyFont="1" applyFill="1"/>
    <xf numFmtId="0" fontId="16" fillId="10" borderId="0" xfId="0" applyFont="1" applyFill="1" applyAlignment="1">
      <alignment horizontal="left" vertical="center"/>
    </xf>
    <xf numFmtId="0" fontId="12" fillId="10" borderId="0" xfId="0" applyFont="1" applyFill="1" applyProtection="1">
      <protection locked="0" hidden="1"/>
    </xf>
    <xf numFmtId="0" fontId="20" fillId="10" borderId="0" xfId="0" applyFont="1" applyFill="1" applyAlignment="1">
      <alignment horizontal="right" vertical="center"/>
    </xf>
    <xf numFmtId="0" fontId="4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left" vertical="center"/>
    </xf>
    <xf numFmtId="0" fontId="23" fillId="10" borderId="0" xfId="0" applyFont="1" applyFill="1"/>
    <xf numFmtId="0" fontId="2" fillId="10" borderId="0" xfId="0" applyFont="1" applyFill="1" applyAlignment="1">
      <alignment vertical="center" textRotation="90" wrapText="1"/>
    </xf>
    <xf numFmtId="0" fontId="0" fillId="10" borderId="0" xfId="0" applyFill="1" applyAlignment="1">
      <alignment horizontal="left" wrapText="1"/>
    </xf>
    <xf numFmtId="0" fontId="2" fillId="10" borderId="0" xfId="0" applyFont="1" applyFill="1" applyAlignment="1">
      <alignment horizontal="center" vertical="center" textRotation="90" wrapText="1"/>
    </xf>
    <xf numFmtId="0" fontId="0" fillId="10" borderId="0" xfId="0" applyFill="1" applyAlignment="1">
      <alignment wrapText="1"/>
    </xf>
    <xf numFmtId="0" fontId="22" fillId="10" borderId="0" xfId="0" applyFont="1" applyFill="1"/>
    <xf numFmtId="0" fontId="0" fillId="10" borderId="0" xfId="0" applyFill="1" applyAlignment="1">
      <alignment vertical="center"/>
    </xf>
    <xf numFmtId="0" fontId="0" fillId="10" borderId="0" xfId="0" applyFill="1" applyProtection="1">
      <protection hidden="1"/>
    </xf>
    <xf numFmtId="0" fontId="13" fillId="10" borderId="0" xfId="0" applyFont="1" applyFill="1"/>
    <xf numFmtId="0" fontId="24" fillId="10" borderId="0" xfId="0" applyFont="1" applyFill="1"/>
    <xf numFmtId="4" fontId="12" fillId="0" borderId="9" xfId="0" applyNumberFormat="1" applyFont="1" applyBorder="1"/>
    <xf numFmtId="0" fontId="0" fillId="0" borderId="1" xfId="0" applyBorder="1" applyAlignment="1">
      <alignment vertical="center" wrapText="1"/>
    </xf>
    <xf numFmtId="0" fontId="21" fillId="11" borderId="25" xfId="0" applyFont="1" applyFill="1" applyBorder="1"/>
    <xf numFmtId="0" fontId="21" fillId="11" borderId="19" xfId="0" applyFont="1" applyFill="1" applyBorder="1"/>
    <xf numFmtId="0" fontId="21" fillId="11" borderId="26" xfId="0" applyFont="1" applyFill="1" applyBorder="1"/>
    <xf numFmtId="0" fontId="0" fillId="12" borderId="25" xfId="0" applyFill="1" applyBorder="1"/>
    <xf numFmtId="0" fontId="0" fillId="12" borderId="26" xfId="0" applyFill="1" applyBorder="1"/>
    <xf numFmtId="0" fontId="0" fillId="0" borderId="25" xfId="0" applyBorder="1"/>
    <xf numFmtId="0" fontId="13" fillId="0" borderId="0" xfId="0" applyFont="1"/>
    <xf numFmtId="0" fontId="0" fillId="10" borderId="1" xfId="0" applyFill="1" applyBorder="1"/>
    <xf numFmtId="0" fontId="19" fillId="10" borderId="0" xfId="0" applyFont="1" applyFill="1"/>
    <xf numFmtId="0" fontId="27" fillId="0" borderId="0" xfId="1" applyFont="1" applyProtection="1">
      <protection locked="0"/>
    </xf>
    <xf numFmtId="0" fontId="0" fillId="10" borderId="0" xfId="0" applyFill="1" applyAlignment="1">
      <alignment horizontal="left" vertical="top" wrapText="1"/>
    </xf>
    <xf numFmtId="0" fontId="2" fillId="0" borderId="0" xfId="0" applyFont="1" applyAlignment="1">
      <alignment horizontal="center" vertical="center" textRotation="90" wrapText="1"/>
    </xf>
    <xf numFmtId="0" fontId="0" fillId="12" borderId="21" xfId="0" applyFill="1" applyBorder="1" applyAlignment="1">
      <alignment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0" fillId="10" borderId="27" xfId="0" applyFill="1" applyBorder="1" applyAlignment="1">
      <alignment horizontal="left" vertical="top" wrapText="1"/>
    </xf>
    <xf numFmtId="0" fontId="0" fillId="10" borderId="18" xfId="0" applyFill="1" applyBorder="1" applyAlignment="1">
      <alignment horizontal="left" vertical="top" wrapText="1"/>
    </xf>
    <xf numFmtId="0" fontId="0" fillId="10" borderId="11" xfId="0" applyFill="1" applyBorder="1" applyAlignment="1">
      <alignment horizontal="left" vertical="top" wrapText="1"/>
    </xf>
    <xf numFmtId="0" fontId="0" fillId="10" borderId="24" xfId="0" applyFill="1" applyBorder="1" applyAlignment="1">
      <alignment horizontal="left" vertical="top" wrapText="1"/>
    </xf>
    <xf numFmtId="0" fontId="0" fillId="10" borderId="13" xfId="0" applyFill="1" applyBorder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0" fillId="10" borderId="12" xfId="0" applyFill="1" applyBorder="1" applyAlignment="1">
      <alignment horizontal="left" vertical="top" wrapText="1"/>
    </xf>
    <xf numFmtId="0" fontId="3" fillId="10" borderId="0" xfId="1" applyFill="1" applyAlignment="1" applyProtection="1">
      <alignment horizontal="left"/>
      <protection locked="0"/>
    </xf>
    <xf numFmtId="0" fontId="18" fillId="0" borderId="0" xfId="0" applyFont="1" applyAlignment="1">
      <alignment horizontal="left" wrapText="1"/>
    </xf>
    <xf numFmtId="0" fontId="3" fillId="10" borderId="14" xfId="1" applyFill="1" applyBorder="1" applyAlignment="1" applyProtection="1">
      <alignment horizontal="center" wrapText="1"/>
      <protection locked="0"/>
    </xf>
    <xf numFmtId="0" fontId="3" fillId="10" borderId="0" xfId="1" applyFill="1" applyBorder="1" applyAlignment="1" applyProtection="1">
      <alignment horizontal="center" wrapText="1"/>
      <protection locked="0"/>
    </xf>
    <xf numFmtId="0" fontId="13" fillId="10" borderId="14" xfId="0" applyFont="1" applyFill="1" applyBorder="1" applyAlignment="1">
      <alignment horizontal="left" shrinkToFit="1"/>
    </xf>
    <xf numFmtId="0" fontId="13" fillId="10" borderId="0" xfId="0" applyFont="1" applyFill="1" applyAlignment="1">
      <alignment horizontal="left" shrinkToFit="1"/>
    </xf>
    <xf numFmtId="0" fontId="13" fillId="10" borderId="0" xfId="0" applyFont="1" applyFill="1" applyAlignment="1">
      <alignment horizontal="left" vertical="top" wrapText="1"/>
    </xf>
    <xf numFmtId="0" fontId="23" fillId="10" borderId="0" xfId="0" applyFont="1" applyFill="1" applyAlignment="1">
      <alignment horizontal="left" shrinkToFit="1"/>
    </xf>
    <xf numFmtId="1" fontId="12" fillId="13" borderId="2" xfId="0" applyNumberFormat="1" applyFont="1" applyFill="1" applyBorder="1" applyAlignment="1" applyProtection="1">
      <alignment horizontal="center"/>
      <protection locked="0"/>
    </xf>
    <xf numFmtId="1" fontId="12" fillId="13" borderId="3" xfId="0" applyNumberFormat="1" applyFont="1" applyFill="1" applyBorder="1" applyAlignment="1" applyProtection="1">
      <alignment horizontal="center"/>
      <protection locked="0"/>
    </xf>
    <xf numFmtId="1" fontId="12" fillId="13" borderId="4" xfId="0" applyNumberFormat="1" applyFont="1" applyFill="1" applyBorder="1" applyAlignment="1" applyProtection="1">
      <alignment horizontal="center"/>
      <protection locked="0"/>
    </xf>
    <xf numFmtId="1" fontId="14" fillId="10" borderId="2" xfId="0" applyNumberFormat="1" applyFont="1" applyFill="1" applyBorder="1" applyAlignment="1">
      <alignment horizontal="right"/>
    </xf>
    <xf numFmtId="1" fontId="14" fillId="10" borderId="3" xfId="0" applyNumberFormat="1" applyFont="1" applyFill="1" applyBorder="1" applyAlignment="1">
      <alignment horizontal="right"/>
    </xf>
    <xf numFmtId="1" fontId="14" fillId="10" borderId="4" xfId="0" applyNumberFormat="1" applyFont="1" applyFill="1" applyBorder="1" applyAlignment="1">
      <alignment horizontal="right"/>
    </xf>
    <xf numFmtId="1" fontId="12" fillId="14" borderId="2" xfId="0" applyNumberFormat="1" applyFont="1" applyFill="1" applyBorder="1" applyAlignment="1" applyProtection="1">
      <alignment horizontal="left"/>
      <protection locked="0"/>
    </xf>
    <xf numFmtId="1" fontId="12" fillId="14" borderId="3" xfId="0" applyNumberFormat="1" applyFont="1" applyFill="1" applyBorder="1" applyAlignment="1" applyProtection="1">
      <alignment horizontal="left"/>
      <protection locked="0"/>
    </xf>
    <xf numFmtId="1" fontId="12" fillId="14" borderId="4" xfId="0" applyNumberFormat="1" applyFont="1" applyFill="1" applyBorder="1" applyAlignment="1" applyProtection="1">
      <alignment horizontal="left"/>
      <protection locked="0"/>
    </xf>
    <xf numFmtId="0" fontId="3" fillId="10" borderId="0" xfId="1" applyFill="1" applyAlignment="1" applyProtection="1">
      <alignment horizontal="left" vertical="center"/>
      <protection locked="0"/>
    </xf>
    <xf numFmtId="0" fontId="0" fillId="13" borderId="1" xfId="0" applyFill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9" fillId="10" borderId="17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center" vertical="center" textRotation="90" wrapText="1"/>
    </xf>
    <xf numFmtId="0" fontId="26" fillId="0" borderId="7" xfId="0" applyFont="1" applyBorder="1" applyAlignment="1">
      <alignment horizontal="center" vertical="center" textRotation="90" wrapText="1"/>
    </xf>
    <xf numFmtId="0" fontId="26" fillId="0" borderId="8" xfId="0" applyFont="1" applyBorder="1" applyAlignment="1">
      <alignment horizontal="center" vertical="center" textRotation="90" wrapText="1"/>
    </xf>
    <xf numFmtId="0" fontId="3" fillId="13" borderId="2" xfId="1" applyFill="1" applyBorder="1" applyAlignment="1" applyProtection="1">
      <alignment horizontal="left" vertical="center" wrapText="1"/>
      <protection locked="0"/>
    </xf>
    <xf numFmtId="0" fontId="5" fillId="13" borderId="3" xfId="2" applyFill="1" applyBorder="1" applyAlignment="1" applyProtection="1">
      <alignment horizontal="left" vertical="center" wrapText="1"/>
      <protection locked="0"/>
    </xf>
    <xf numFmtId="0" fontId="5" fillId="13" borderId="4" xfId="2" applyFill="1" applyBorder="1" applyAlignment="1" applyProtection="1">
      <alignment horizontal="left" vertical="center" wrapText="1"/>
      <protection locked="0"/>
    </xf>
    <xf numFmtId="0" fontId="5" fillId="13" borderId="1" xfId="2" applyFill="1" applyBorder="1" applyAlignment="1" applyProtection="1">
      <alignment horizontal="left" vertical="center" wrapText="1"/>
      <protection locked="0"/>
    </xf>
    <xf numFmtId="0" fontId="5" fillId="13" borderId="2" xfId="2" applyFill="1" applyBorder="1" applyAlignment="1" applyProtection="1">
      <alignment horizontal="left" vertical="center" wrapText="1"/>
      <protection locked="0"/>
    </xf>
    <xf numFmtId="0" fontId="5" fillId="13" borderId="2" xfId="2" quotePrefix="1" applyFill="1" applyBorder="1" applyAlignment="1" applyProtection="1">
      <alignment horizontal="left" vertical="center" wrapText="1"/>
      <protection locked="0"/>
    </xf>
    <xf numFmtId="0" fontId="5" fillId="13" borderId="3" xfId="2" quotePrefix="1" applyFill="1" applyBorder="1" applyAlignment="1" applyProtection="1">
      <alignment horizontal="left" vertical="center" wrapText="1"/>
      <protection locked="0"/>
    </xf>
    <xf numFmtId="0" fontId="5" fillId="13" borderId="4" xfId="2" quotePrefix="1" applyFill="1" applyBorder="1" applyAlignment="1" applyProtection="1">
      <alignment horizontal="left" vertical="center" wrapText="1"/>
      <protection locked="0"/>
    </xf>
    <xf numFmtId="0" fontId="5" fillId="13" borderId="2" xfId="2" applyNumberFormat="1" applyFill="1" applyBorder="1" applyAlignment="1" applyProtection="1">
      <alignment horizontal="left" vertical="center" wrapText="1"/>
      <protection locked="0"/>
    </xf>
    <xf numFmtId="0" fontId="5" fillId="13" borderId="3" xfId="2" applyNumberFormat="1" applyFill="1" applyBorder="1" applyAlignment="1" applyProtection="1">
      <alignment horizontal="left" vertical="center" wrapText="1"/>
      <protection locked="0"/>
    </xf>
    <xf numFmtId="0" fontId="5" fillId="13" borderId="4" xfId="2" applyNumberForma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wrapText="1"/>
    </xf>
  </cellXfs>
  <cellStyles count="13">
    <cellStyle name="Akzent4 2" xfId="4" xr:uid="{00000000-0005-0000-0000-000031000000}"/>
    <cellStyle name="Akzent5 2" xfId="5" xr:uid="{00000000-0005-0000-0000-000032000000}"/>
    <cellStyle name="Eingabe" xfId="2" builtinId="20"/>
    <cellStyle name="Eingabe 2" xfId="6" xr:uid="{00000000-0005-0000-0000-000033000000}"/>
    <cellStyle name="Gut 2" xfId="7" xr:uid="{00000000-0005-0000-0000-000034000000}"/>
    <cellStyle name="Komma 2" xfId="8" xr:uid="{00000000-0005-0000-0000-000035000000}"/>
    <cellStyle name="Link" xfId="1" builtinId="8"/>
    <cellStyle name="Link 2" xfId="9" xr:uid="{00000000-0005-0000-0000-000036000000}"/>
    <cellStyle name="Neutral 2" xfId="10" xr:uid="{00000000-0005-0000-0000-000037000000}"/>
    <cellStyle name="Normal 3" xfId="12" xr:uid="{846207B2-1E63-4C5C-9A48-FAAB4E21F4FD}"/>
    <cellStyle name="Prozent 2" xfId="11" xr:uid="{00000000-0005-0000-0000-000038000000}"/>
    <cellStyle name="Standard" xfId="0" builtinId="0"/>
    <cellStyle name="Standard 2" xfId="3" xr:uid="{00000000-0005-0000-0000-000039000000}"/>
  </cellStyles>
  <dxfs count="57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colors>
    <mruColors>
      <color rgb="FFE8F5F8"/>
      <color rgb="FFB7FBC9"/>
      <color rgb="FFD0FCDC"/>
      <color rgb="FFA0FAB8"/>
      <color rgb="FFB0F7FE"/>
      <color rgb="FFB4F3FA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2</xdr:col>
      <xdr:colOff>3276063</xdr:colOff>
      <xdr:row>6</xdr:row>
      <xdr:rowOff>76201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C2D416F-1E19-451E-9E82-DFA1294A3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0758"/>
        <a:stretch/>
      </xdr:blipFill>
      <xdr:spPr>
        <a:xfrm>
          <a:off x="0" y="38101"/>
          <a:ext cx="4295238" cy="1104900"/>
        </a:xfrm>
        <a:prstGeom prst="rect">
          <a:avLst/>
        </a:prstGeom>
      </xdr:spPr>
    </xdr:pic>
    <xdr:clientData/>
  </xdr:twoCellAnchor>
  <xdr:twoCellAnchor editAs="oneCell">
    <xdr:from>
      <xdr:col>16</xdr:col>
      <xdr:colOff>576433</xdr:colOff>
      <xdr:row>44</xdr:row>
      <xdr:rowOff>57150</xdr:rowOff>
    </xdr:from>
    <xdr:to>
      <xdr:col>26</xdr:col>
      <xdr:colOff>201586</xdr:colOff>
      <xdr:row>47</xdr:row>
      <xdr:rowOff>49837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6DC8C4-C3BF-28CA-1DD8-F78449D27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1333" y="9953625"/>
          <a:ext cx="5978328" cy="1183312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590551</xdr:colOff>
      <xdr:row>38</xdr:row>
      <xdr:rowOff>34771</xdr:rowOff>
    </xdr:from>
    <xdr:to>
      <xdr:col>26</xdr:col>
      <xdr:colOff>182881</xdr:colOff>
      <xdr:row>43</xdr:row>
      <xdr:rowOff>164194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DB2CA5A-EE28-2DB3-DBAE-33C9889B7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15451" y="8407246"/>
          <a:ext cx="5945505" cy="138672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52</xdr:row>
      <xdr:rowOff>216750</xdr:rowOff>
    </xdr:from>
    <xdr:to>
      <xdr:col>16</xdr:col>
      <xdr:colOff>670434</xdr:colOff>
      <xdr:row>66</xdr:row>
      <xdr:rowOff>76200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5A7AE7C-4866-425A-5666-23EDF92C9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325" y="12361125"/>
          <a:ext cx="9081009" cy="25740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65C81C-ECEF-494D-9A8C-4B976C03B314}" name="Massnahme" displayName="Massnahme" ref="B1:E10" totalsRowShown="0">
  <autoFilter ref="B1:E10" xr:uid="{0C65C81C-ECEF-494D-9A8C-4B976C03B314}"/>
  <tableColumns count="4">
    <tableColumn id="1" xr3:uid="{A1ECA8D5-2BC4-4916-894D-5E317D425B03}" name="DE"/>
    <tableColumn id="2" xr3:uid="{38572B9A-9FFB-4344-8B51-4DE563AE7AA1}" name="FR"/>
    <tableColumn id="3" xr3:uid="{EB65E555-F921-4C12-8A2E-2D8090CB233A}" name="IT"/>
    <tableColumn id="4" xr3:uid="{1A4D24B2-199A-4FBB-9CEF-852EE455F617}" name="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A1EECD-7D23-4867-AB10-D9B11F00CDD6}" name="Anrede" displayName="Anrede" ref="B13:E15" totalsRowShown="0" headerRowDxfId="56" headerRowBorderDxfId="55" tableBorderDxfId="54" totalsRowBorderDxfId="53">
  <autoFilter ref="B13:E15" xr:uid="{91A1EECD-7D23-4867-AB10-D9B11F00CDD6}"/>
  <tableColumns count="4">
    <tableColumn id="1" xr3:uid="{600A3071-65ED-4CC2-97B4-0D2D06AE51C0}" name="DE"/>
    <tableColumn id="2" xr3:uid="{E585932E-3A88-4B85-BCBC-F3B7F144DDD8}" name="FR"/>
    <tableColumn id="3" xr3:uid="{0011C9E6-D379-4087-8752-AEF03483B642}" name="IT"/>
    <tableColumn id="4" xr3:uid="{4B6CCD30-E746-4A9C-B3F2-623E8D388077}" name="E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59D09B-3D10-4796-AD8F-7D716A3C5815}" name="Messung" displayName="Messung" ref="H1:K3" totalsRowShown="0" headerRowDxfId="52" headerRowBorderDxfId="51" tableBorderDxfId="50">
  <autoFilter ref="H1:K3" xr:uid="{1C59D09B-3D10-4796-AD8F-7D716A3C5815}"/>
  <tableColumns count="4">
    <tableColumn id="1" xr3:uid="{D3B08E37-A6EA-48F6-9F24-1AA385FA27EA}" name="DE"/>
    <tableColumn id="2" xr3:uid="{8FF19363-2487-4FE2-9CAC-004DCBE81B13}" name="FR"/>
    <tableColumn id="3" xr3:uid="{CF1C17C0-0EBB-482E-A70B-DD03AF5DB730}" name="IT"/>
    <tableColumn id="4" xr3:uid="{2FAF7989-0B05-4FDC-A663-9C0043EF6C75}" name="E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5F7EC9-FEBE-4482-8456-B4C336759869}" name="Förderbedingungen" displayName="Förderbedingungen" ref="N1:Q5" totalsRowShown="0" headerRowDxfId="49" headerRowBorderDxfId="48" tableBorderDxfId="47">
  <autoFilter ref="N1:Q5" xr:uid="{345F7EC9-FEBE-4482-8456-B4C336759869}"/>
  <tableColumns count="4">
    <tableColumn id="1" xr3:uid="{B322FEE3-A04A-45B8-A0FC-FCB7B6064EA8}" name="DE"/>
    <tableColumn id="2" xr3:uid="{533A9E7B-9E8E-4597-A8C0-CE8B45B76EBB}" name="FR"/>
    <tableColumn id="3" xr3:uid="{02DB7F44-0EAA-4BD0-95DE-6A67491FDEA7}" name="IT"/>
    <tableColumn id="4" xr3:uid="{DC6FD147-4415-4847-99DF-86E15A6A59FC}" name="E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25A0935-0087-4220-B7A8-F3D8991AF2BF}" name="janein" displayName="janein" ref="B17:E19" totalsRowShown="0" headerRowDxfId="46" headerRowBorderDxfId="45" tableBorderDxfId="44">
  <autoFilter ref="B17:E19" xr:uid="{A25A0935-0087-4220-B7A8-F3D8991AF2BF}"/>
  <tableColumns count="4">
    <tableColumn id="1" xr3:uid="{91F7FFF8-2F3A-4DDA-9F5B-5D5DBB8ED61F}" name="DE"/>
    <tableColumn id="2" xr3:uid="{739ED2D9-6FF6-411D-96E3-7BBF5AEC2D0C}" name="FR"/>
    <tableColumn id="3" xr3:uid="{640D8095-3CF1-4FD6-BE33-B54EFB297A40}" name="IT"/>
    <tableColumn id="4" xr3:uid="{F4D4919F-E128-4338-ABD6-DED85559FB84}" name="E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475306-21E9-4A24-8AA3-6397908E172A}" name="Kontaktdaten" displayName="Kontaktdaten" ref="H15:K23" totalsRowShown="0" headerRowDxfId="43" headerRowBorderDxfId="42" tableBorderDxfId="41">
  <autoFilter ref="H15:K23" xr:uid="{3B475306-21E9-4A24-8AA3-6397908E172A}"/>
  <tableColumns count="4">
    <tableColumn id="1" xr3:uid="{CF6839CC-1E68-4D02-BF46-1E06E4F0FAB2}" name="DE"/>
    <tableColumn id="2" xr3:uid="{F1EEA63A-061A-4226-8166-3D8CC94944C3}" name="FR"/>
    <tableColumn id="3" xr3:uid="{3FFEB99D-1A80-4F86-8896-1FB40AF6B91C}" name="IT"/>
    <tableColumn id="4" xr3:uid="{07857D21-76CC-4211-A617-57EA31AA1984}" name="E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F8A7A4C-B651-4BBE-A970-76D87D73DD92}" name="Einsparungen" displayName="Einsparungen" ref="N12:Q19" totalsRowShown="0" headerRowDxfId="40" headerRowBorderDxfId="39" tableBorderDxfId="38">
  <autoFilter ref="N12:Q19" xr:uid="{DF8A7A4C-B651-4BBE-A970-76D87D73DD92}"/>
  <tableColumns count="4">
    <tableColumn id="1" xr3:uid="{D646E2D5-04A4-4663-97C3-12773B6F6750}" name="DE"/>
    <tableColumn id="2" xr3:uid="{CA403620-A3DC-4AD8-8EDD-1F45A1BEA77B}" name="FR"/>
    <tableColumn id="3" xr3:uid="{F6808E13-B84C-473F-93B1-AE15DF1C0E27}" name="IT"/>
    <tableColumn id="4" xr3:uid="{98E6B3C4-56C7-4618-8D03-7AA09EAEA928}" name="E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E93841F-D714-4F02-B6C8-B65B9B2452E1}" name="sonstiges" displayName="sonstiges" ref="B25:E48" totalsRowShown="0" headerRowDxfId="37" headerRowBorderDxfId="36" tableBorderDxfId="35">
  <autoFilter ref="B25:E48" xr:uid="{1E93841F-D714-4F02-B6C8-B65B9B2452E1}"/>
  <tableColumns count="4">
    <tableColumn id="1" xr3:uid="{34C580FD-4AFF-4369-9586-131497CEB1D0}" name="DE"/>
    <tableColumn id="2" xr3:uid="{13CE8FC7-6F8A-489B-8922-3C27245173F1}" name="FR"/>
    <tableColumn id="3" xr3:uid="{F6ACAFB0-70EE-4616-9665-3442B56B7FAC}" name="IT"/>
    <tableColumn id="4" xr3:uid="{756AD743-3B3F-48FD-8CC7-FC8712C17F40}" name="E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F425F4D-09E9-4E22-919B-496FB325D360}" name="KontrolleAnforderungen" displayName="KontrolleAnforderungen" ref="N25:Q33" totalsRowShown="0" headerRowDxfId="34" headerRowBorderDxfId="33" tableBorderDxfId="32">
  <autoFilter ref="N25:Q33" xr:uid="{0F425F4D-09E9-4E22-919B-496FB325D360}"/>
  <tableColumns count="4">
    <tableColumn id="1" xr3:uid="{4F6E0BFB-564C-4526-BF0D-D7A299EBCA16}" name="DE"/>
    <tableColumn id="2" xr3:uid="{C36A7D26-30CB-4B50-8396-0261AC99F9FC}" name="FR"/>
    <tableColumn id="3" xr3:uid="{23F36FA4-A51A-44D2-8C3D-0A07D85370E1}" name="IT"/>
    <tableColumn id="4" xr3:uid="{41C3C895-436A-4DBF-9909-47020BA79323}" name="E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0EAC045-62A2-47CE-AF20-A1541A03AE2C}" name="Vermittler" displayName="Vermittler" ref="H28:K32" totalsRowShown="0" headerRowDxfId="31" dataDxfId="29" headerRowBorderDxfId="30" tableBorderDxfId="28" totalsRowBorderDxfId="27">
  <autoFilter ref="H28:K32" xr:uid="{50EAC045-62A2-47CE-AF20-A1541A03AE2C}"/>
  <tableColumns count="4">
    <tableColumn id="1" xr3:uid="{4CE24BD0-554B-4509-9216-F8E4E836FD3A}" name="DE" dataDxfId="26"/>
    <tableColumn id="2" xr3:uid="{B926916E-BFDF-470F-8275-66F662ECEDF8}" name="FR" dataDxfId="25"/>
    <tableColumn id="3" xr3:uid="{FAD6B392-BB92-4166-97D8-FA04C2D70F51}" name="IT" dataDxfId="24"/>
    <tableColumn id="4" xr3:uid="{86DF165F-CEE6-4CE3-AA2F-5759B396AE19}" name="EN" dataDxfId="2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5BA11C1-1620-4B63-9AE7-EFB5E305FCB7}" name="Hinweise" displayName="Hinweise" ref="H34:K37" totalsRowShown="0" headerRowDxfId="22" headerRowBorderDxfId="21" tableBorderDxfId="20">
  <autoFilter ref="H34:K37" xr:uid="{B5BA11C1-1620-4B63-9AE7-EFB5E305FCB7}"/>
  <tableColumns count="4">
    <tableColumn id="1" xr3:uid="{DBFFE864-8BB6-45CE-B48C-412F695AB2E9}" name="DE"/>
    <tableColumn id="2" xr3:uid="{AB4DF55D-985C-450E-BFA9-7341B03E8E5A}" name="FR"/>
    <tableColumn id="3" xr3:uid="{F823741F-3DF1-4472-B2C9-F012CBCB430E}" name="IT"/>
    <tableColumn id="4" xr3:uid="{70524B01-0574-4EEE-8656-9E0292D68BBB}" name="EN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47B2B7-F6D4-4645-BC55-F3AE0907AC7C}" name="Messung2" displayName="Messung2" ref="H5:K6" totalsRowShown="0" headerRowDxfId="19" headerRowBorderDxfId="18" tableBorderDxfId="17">
  <autoFilter ref="H5:K6" xr:uid="{9B47B2B7-F6D4-4645-BC55-F3AE0907AC7C}"/>
  <tableColumns count="4">
    <tableColumn id="1" xr3:uid="{98AB32D7-5D35-497B-8B0E-094922520ED5}" name="DE"/>
    <tableColumn id="2" xr3:uid="{8B792DDF-1D69-42C7-A40A-ED98C531CFC4}" name="FR"/>
    <tableColumn id="3" xr3:uid="{11515D1E-A948-4ADF-9CF5-99F63BD234F2}" name="IT"/>
    <tableColumn id="4" xr3:uid="{F445F5AA-D28D-4ADA-ADF7-6C6ED48F6588}" name="E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1323B31-AAAA-4F47-A0B6-B4276D435EF0}" name="Unterlagen" displayName="Unterlagen" ref="U1:X9" totalsRowShown="0" headerRowDxfId="16" dataDxfId="14" headerRowBorderDxfId="15" tableBorderDxfId="13" totalsRowBorderDxfId="12">
  <autoFilter ref="U1:X9" xr:uid="{21323B31-AAAA-4F47-A0B6-B4276D435EF0}"/>
  <tableColumns count="4">
    <tableColumn id="1" xr3:uid="{FB46007E-D2D2-47FC-B3C9-035A0FE27543}" name="DE" dataDxfId="11"/>
    <tableColumn id="2" xr3:uid="{6AE4B5EE-A481-4FDC-A31D-6A9EAD06B1B9}" name="FR" dataDxfId="10"/>
    <tableColumn id="3" xr3:uid="{E9E1D92A-E6F2-4097-A3F0-5D67C2EA3639}" name="IT" dataDxfId="9"/>
    <tableColumn id="4" xr3:uid="{A14012CE-0A5B-4C19-965A-5E4F5A61AD95}" name="EN" dataDxfId="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074BB6C-9377-448D-AE18-D4003625A776}" name="Massnahme2" displayName="Massnahme2" ref="B4:D5" totalsRowShown="0">
  <autoFilter ref="B4:D5" xr:uid="{B074BB6C-9377-448D-AE18-D4003625A776}"/>
  <tableColumns count="3">
    <tableColumn id="1" xr3:uid="{8FBD94FE-9F47-4726-BD8E-2D6E1E04A6A6}" name="klein"/>
    <tableColumn id="2" xr3:uid="{84BCC16D-610F-4260-875D-05A705B6689B}" name="mittel"/>
    <tableColumn id="3" xr3:uid="{8F9D5D47-719B-4DBD-9C92-554B0B78AB55}" name="gros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2A3AEAB-4F18-4625-88BB-92D3E4F53408}" name="Massnahme3" displayName="Massnahme3" ref="B7:D8" totalsRowShown="0">
  <autoFilter ref="B7:D8" xr:uid="{42A3AEAB-4F18-4625-88BB-92D3E4F53408}"/>
  <tableColumns count="3">
    <tableColumn id="1" xr3:uid="{FFEF0249-C785-480A-96DA-4E8DD1F85A0B}" name="klein"/>
    <tableColumn id="2" xr3:uid="{0CFBEA99-8DD6-48C5-AE48-D43E73350410}" name="mittel"/>
    <tableColumn id="3" xr3:uid="{6804B84C-A54B-4724-80F6-A34AFFE45460}" name="gros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1294F93-F979-4501-A204-BA9BA7F7F84E}" name="Massnahme4" displayName="Massnahme4" ref="B10:D11" totalsRowShown="0">
  <autoFilter ref="B10:D11" xr:uid="{61294F93-F979-4501-A204-BA9BA7F7F84E}"/>
  <tableColumns count="3">
    <tableColumn id="1" xr3:uid="{D077BB13-BBD2-4D8A-A6EC-D9646A7414A7}" name="klein"/>
    <tableColumn id="2" xr3:uid="{95F9B082-37C2-4F7C-916B-44AF91160790}" name="mittel"/>
    <tableColumn id="3" xr3:uid="{95839DC1-F903-4D80-A47C-4BC2181975FD}" name="gros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6B4B6B6-BBD9-4EBC-9FC0-5B2104596B0A}" name="Massnahme5" displayName="Massnahme5" ref="B13:D14" totalsRowShown="0">
  <autoFilter ref="B13:D14" xr:uid="{E6B4B6B6-BBD9-4EBC-9FC0-5B2104596B0A}"/>
  <tableColumns count="3">
    <tableColumn id="1" xr3:uid="{C2639717-DFD8-47C5-A12F-6C357E5515C2}" name="klein"/>
    <tableColumn id="2" xr3:uid="{58B8462D-703E-4B0C-8A3C-A68C51565302}" name="mittel"/>
    <tableColumn id="3" xr3:uid="{A5783E7B-34BD-4A5D-9F36-81BE0271F39C}" name="gros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6C338BD-2298-4900-BA5B-3B244FF68610}" name="Massnahme6" displayName="Massnahme6" ref="B16:D17" totalsRowShown="0">
  <autoFilter ref="B16:D17" xr:uid="{16C338BD-2298-4900-BA5B-3B244FF68610}"/>
  <tableColumns count="3">
    <tableColumn id="1" xr3:uid="{AB2A0237-4256-4C80-9A49-30025DB27D70}" name="klein"/>
    <tableColumn id="2" xr3:uid="{CBB4AD15-5CB3-43A6-9A75-3DF3CF5CA601}" name="mittel"/>
    <tableColumn id="3" xr3:uid="{50FD2B60-03C1-461D-8D31-701C13BEEBC3}" name="gros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frio.enerprice.ch/antrag-herunterladen-de/" TargetMode="External"/><Relationship Id="rId2" Type="http://schemas.openxmlformats.org/officeDocument/2006/relationships/hyperlink" Target="https://profrio.enerprice.ch/antrag/Berechnung_Einsparungen_Freecooling.xlsx" TargetMode="External"/><Relationship Id="rId1" Type="http://schemas.openxmlformats.org/officeDocument/2006/relationships/hyperlink" Target="mailto:profrio@enerprice-partners.ch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rofrio@enerprice-partners.ch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table" Target="../tables/table14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T129"/>
  <sheetViews>
    <sheetView tabSelected="1" zoomScaleNormal="100" workbookViewId="0">
      <selection activeCell="D14" sqref="D14:G14"/>
    </sheetView>
  </sheetViews>
  <sheetFormatPr baseColWidth="10" defaultColWidth="9.28515625" defaultRowHeight="15" x14ac:dyDescent="0.25"/>
  <cols>
    <col min="1" max="1" width="2.28515625" style="33" customWidth="1"/>
    <col min="2" max="2" width="13" customWidth="1"/>
    <col min="3" max="3" width="50.5703125" customWidth="1"/>
    <col min="4" max="4" width="12.85546875" customWidth="1"/>
    <col min="5" max="5" width="9" customWidth="1"/>
    <col min="6" max="6" width="11.7109375" customWidth="1"/>
    <col min="7" max="7" width="20.28515625" customWidth="1"/>
    <col min="8" max="8" width="5" style="33" hidden="1" customWidth="1"/>
    <col min="9" max="9" width="10.28515625" hidden="1" customWidth="1"/>
    <col min="10" max="10" width="6" style="33" hidden="1" customWidth="1"/>
    <col min="11" max="11" width="3.7109375" style="33" hidden="1" customWidth="1"/>
    <col min="12" max="14" width="6" style="33" hidden="1" customWidth="1"/>
    <col min="15" max="15" width="7.7109375" style="33" hidden="1" customWidth="1"/>
    <col min="16" max="16" width="11.140625" style="33" customWidth="1"/>
    <col min="17" max="17" width="11.7109375" style="33" bestFit="1" customWidth="1"/>
    <col min="18" max="46" width="9.28515625" style="33"/>
  </cols>
  <sheetData>
    <row r="1" spans="1:12" x14ac:dyDescent="0.25">
      <c r="B1" s="33"/>
      <c r="C1" s="33"/>
      <c r="D1" s="33"/>
      <c r="E1" s="33"/>
      <c r="F1" s="33"/>
      <c r="G1" s="33"/>
      <c r="H1" s="32"/>
      <c r="I1" s="22"/>
      <c r="J1" s="32"/>
      <c r="K1" s="32"/>
      <c r="L1" s="32"/>
    </row>
    <row r="2" spans="1:12" ht="16.5" customHeight="1" x14ac:dyDescent="0.25">
      <c r="B2" s="50"/>
      <c r="C2" s="50"/>
      <c r="D2" s="51"/>
      <c r="E2" s="33"/>
      <c r="F2" s="33"/>
      <c r="G2" s="33"/>
      <c r="H2" s="32"/>
      <c r="I2" s="5"/>
      <c r="J2" s="32"/>
      <c r="K2" s="32"/>
      <c r="L2" s="32"/>
    </row>
    <row r="3" spans="1:12" ht="15" customHeight="1" x14ac:dyDescent="0.25">
      <c r="B3" s="50"/>
      <c r="C3" s="50"/>
      <c r="D3" s="49" t="str" cm="1">
        <f t="array" ref="D3">INDEX(sonstiges[#All],2,Sprachen!F25)</f>
        <v>Sprache</v>
      </c>
      <c r="E3" s="41" t="s">
        <v>25</v>
      </c>
      <c r="F3" s="33"/>
      <c r="G3" s="39" t="str" cm="1">
        <f t="array" ref="G3">INDEX(sonstiges[#All],16,Sprachen!F25)</f>
        <v>Eingabe</v>
      </c>
      <c r="H3" s="32"/>
      <c r="I3" s="5"/>
      <c r="J3" s="32"/>
      <c r="K3" s="32"/>
      <c r="L3" s="32"/>
    </row>
    <row r="4" spans="1:12" ht="14.25" customHeight="1" x14ac:dyDescent="0.25">
      <c r="B4" s="33"/>
      <c r="C4" s="33"/>
      <c r="D4" s="49"/>
      <c r="E4" s="33"/>
      <c r="F4" s="33"/>
      <c r="G4" s="40" t="str" cm="1">
        <f t="array" ref="G4">INDEX(sonstiges[#All],17,Sprachen!F25)</f>
        <v>Dropdown</v>
      </c>
      <c r="H4" s="32"/>
      <c r="I4" s="5"/>
      <c r="J4" s="32"/>
      <c r="K4" s="32"/>
      <c r="L4" s="32"/>
    </row>
    <row r="5" spans="1:12" ht="14.25" customHeight="1" x14ac:dyDescent="0.4">
      <c r="A5" s="44"/>
      <c r="B5" s="33"/>
      <c r="C5" s="33"/>
      <c r="D5" s="33"/>
      <c r="E5" s="33"/>
      <c r="F5" s="33"/>
      <c r="G5" s="33"/>
      <c r="H5" s="32"/>
      <c r="I5" s="5"/>
      <c r="J5" s="32"/>
      <c r="K5" s="32"/>
      <c r="L5" s="32"/>
    </row>
    <row r="6" spans="1:12" s="33" customFormat="1" ht="9" customHeight="1" x14ac:dyDescent="0.4">
      <c r="A6" s="44"/>
      <c r="D6" s="45"/>
      <c r="H6" s="32"/>
      <c r="I6" s="32"/>
      <c r="J6" s="32"/>
      <c r="K6" s="32"/>
      <c r="L6" s="32"/>
    </row>
    <row r="7" spans="1:12" s="33" customFormat="1" ht="24" customHeight="1" x14ac:dyDescent="0.4">
      <c r="A7" s="44"/>
      <c r="B7" s="46" t="str" cm="1">
        <f t="array" ref="B7">INDEX(sonstiges[#All],3,Sprachen!F25)</f>
        <v>Anmeldung einer Kälteanlage</v>
      </c>
      <c r="D7" s="47"/>
      <c r="H7" s="32"/>
      <c r="I7" s="48"/>
      <c r="J7" s="32"/>
      <c r="K7" s="32"/>
      <c r="L7" s="32"/>
    </row>
    <row r="8" spans="1:12" s="33" customFormat="1" ht="24" customHeight="1" x14ac:dyDescent="0.4">
      <c r="A8" s="44"/>
      <c r="B8" s="46"/>
      <c r="D8" s="47"/>
      <c r="H8" s="32"/>
      <c r="I8" s="48"/>
      <c r="J8" s="32"/>
      <c r="K8" s="32"/>
      <c r="L8" s="32"/>
    </row>
    <row r="9" spans="1:12" ht="19.5" customHeight="1" x14ac:dyDescent="0.25">
      <c r="B9" s="111" t="str" cm="1">
        <f t="array" ref="B9">INDEX(sonstiges[#All],15,Sprachen!F25)</f>
        <v>Antragsteller</v>
      </c>
      <c r="C9" s="14" t="str" cm="1">
        <f t="array" aca="1" ref="C9:C12" ca="1">INDIRECT("Vermittler"&amp;"["&amp;INDIRECT("Anmeldung!E3")&amp;"]")</f>
        <v>Name</v>
      </c>
      <c r="D9" s="117"/>
      <c r="E9" s="117"/>
      <c r="F9" s="117"/>
      <c r="G9" s="117"/>
      <c r="H9" s="32"/>
      <c r="I9" s="5"/>
      <c r="J9" s="32"/>
      <c r="K9" s="32"/>
      <c r="L9" s="32"/>
    </row>
    <row r="10" spans="1:12" ht="19.5" customHeight="1" x14ac:dyDescent="0.25">
      <c r="B10" s="112"/>
      <c r="C10" s="14" t="str">
        <f ca="1"/>
        <v>Firma</v>
      </c>
      <c r="D10" s="117"/>
      <c r="E10" s="117"/>
      <c r="F10" s="117"/>
      <c r="G10" s="117"/>
      <c r="H10" s="32"/>
      <c r="I10" s="70"/>
      <c r="J10" s="32"/>
      <c r="K10" s="32"/>
      <c r="L10" s="32"/>
    </row>
    <row r="11" spans="1:12" s="33" customFormat="1" ht="19.5" customHeight="1" x14ac:dyDescent="0.4">
      <c r="A11" s="44"/>
      <c r="B11" s="112"/>
      <c r="C11" s="71" t="str">
        <f ca="1"/>
        <v>Email</v>
      </c>
      <c r="D11" s="114"/>
      <c r="E11" s="115"/>
      <c r="F11" s="115"/>
      <c r="G11" s="116"/>
      <c r="H11" s="32"/>
      <c r="I11" s="48"/>
      <c r="J11" s="32"/>
      <c r="K11" s="32"/>
      <c r="L11" s="32"/>
    </row>
    <row r="12" spans="1:12" s="33" customFormat="1" ht="19.5" customHeight="1" x14ac:dyDescent="0.4">
      <c r="A12" s="44"/>
      <c r="B12" s="113"/>
      <c r="C12" s="71" t="str">
        <f ca="1"/>
        <v>Telefon</v>
      </c>
      <c r="D12" s="117"/>
      <c r="E12" s="117"/>
      <c r="F12" s="117"/>
      <c r="G12" s="117"/>
      <c r="H12" s="32"/>
      <c r="I12" s="48"/>
      <c r="J12" s="32"/>
      <c r="K12" s="32"/>
      <c r="L12" s="32"/>
    </row>
    <row r="13" spans="1:12" s="33" customFormat="1" ht="14.45" customHeight="1" x14ac:dyDescent="0.25">
      <c r="H13" s="32"/>
      <c r="I13" s="32"/>
      <c r="J13" s="32"/>
      <c r="K13" s="32"/>
      <c r="L13" s="32"/>
    </row>
    <row r="14" spans="1:12" ht="19.5" customHeight="1" x14ac:dyDescent="0.25">
      <c r="A14" s="53"/>
      <c r="B14" s="77" t="str" cm="1">
        <f t="array" ref="B14">INDEX(sonstiges[#All],4,Sprachen!F25)</f>
        <v>Kontaktdaten (Endbegünstigter)</v>
      </c>
      <c r="C14" s="6" t="str" cm="1">
        <f t="array" aca="1" ref="C14:C21" ca="1">INDIRECT("Kontaktdaten"&amp;"["&amp;INDIRECT("Anmeldung!E3")&amp;"]")</f>
        <v>Firma</v>
      </c>
      <c r="D14" s="118"/>
      <c r="E14" s="115"/>
      <c r="F14" s="115"/>
      <c r="G14" s="116"/>
      <c r="H14" s="32"/>
      <c r="I14" s="5"/>
      <c r="J14" s="32"/>
      <c r="K14" s="32"/>
      <c r="L14" s="32"/>
    </row>
    <row r="15" spans="1:12" ht="19.5" customHeight="1" x14ac:dyDescent="0.25">
      <c r="A15" s="53"/>
      <c r="B15" s="78"/>
      <c r="C15" s="6" t="str">
        <f ca="1"/>
        <v>Adresse</v>
      </c>
      <c r="D15" s="118"/>
      <c r="E15" s="115"/>
      <c r="F15" s="115"/>
      <c r="G15" s="116"/>
      <c r="H15" s="32"/>
      <c r="I15" s="5"/>
      <c r="J15" s="32"/>
      <c r="K15" s="32"/>
      <c r="L15" s="32"/>
    </row>
    <row r="16" spans="1:12" ht="19.5" customHeight="1" x14ac:dyDescent="0.25">
      <c r="A16" s="53"/>
      <c r="B16" s="78"/>
      <c r="C16" s="6" t="str">
        <f ca="1"/>
        <v>PLZ Ort</v>
      </c>
      <c r="D16" s="118"/>
      <c r="E16" s="115"/>
      <c r="F16" s="115"/>
      <c r="G16" s="116"/>
    </row>
    <row r="17" spans="1:29" ht="19.5" customHeight="1" x14ac:dyDescent="0.25">
      <c r="A17" s="53"/>
      <c r="B17" s="78"/>
      <c r="C17" s="6" t="str">
        <f ca="1"/>
        <v>Anrede</v>
      </c>
      <c r="D17" s="36" t="s">
        <v>71</v>
      </c>
      <c r="E17" s="33"/>
      <c r="F17" s="33"/>
      <c r="G17" s="33"/>
    </row>
    <row r="18" spans="1:29" ht="19.5" customHeight="1" x14ac:dyDescent="0.25">
      <c r="A18" s="53"/>
      <c r="B18" s="78"/>
      <c r="C18" s="6" t="str">
        <f ca="1"/>
        <v>Kontaktperson Name</v>
      </c>
      <c r="D18" s="118"/>
      <c r="E18" s="116"/>
      <c r="F18" s="23" t="str" cm="1">
        <f t="array" ref="F18">INDEX(sonstiges[#All],8,Sprachen!F25)</f>
        <v>Vorname</v>
      </c>
      <c r="G18" s="35"/>
    </row>
    <row r="19" spans="1:29" ht="19.5" customHeight="1" x14ac:dyDescent="0.25">
      <c r="A19" s="53"/>
      <c r="B19" s="78"/>
      <c r="C19" s="6" t="str">
        <f ca="1"/>
        <v>Telefon</v>
      </c>
      <c r="D19" s="119"/>
      <c r="E19" s="120"/>
      <c r="F19" s="120"/>
      <c r="G19" s="121"/>
    </row>
    <row r="20" spans="1:29" ht="19.5" customHeight="1" x14ac:dyDescent="0.25">
      <c r="A20" s="53"/>
      <c r="B20" s="78"/>
      <c r="C20" s="6" t="str">
        <f ca="1"/>
        <v>Email</v>
      </c>
      <c r="D20" s="114"/>
      <c r="E20" s="115"/>
      <c r="F20" s="115"/>
      <c r="G20" s="116"/>
    </row>
    <row r="21" spans="1:29" ht="19.5" customHeight="1" x14ac:dyDescent="0.25">
      <c r="A21" s="53"/>
      <c r="B21" s="79"/>
      <c r="C21" s="6" t="str">
        <f ca="1"/>
        <v>IBAN (Banknummer)</v>
      </c>
      <c r="D21" s="122"/>
      <c r="E21" s="123"/>
      <c r="F21" s="123"/>
      <c r="G21" s="124"/>
    </row>
    <row r="22" spans="1:29" s="33" customFormat="1" x14ac:dyDescent="0.25">
      <c r="H22" s="32"/>
      <c r="I22" t="s">
        <v>227</v>
      </c>
      <c r="J22" s="33" t="s">
        <v>228</v>
      </c>
      <c r="K22" s="33" t="s">
        <v>229</v>
      </c>
      <c r="L22" s="33" t="s">
        <v>230</v>
      </c>
      <c r="M22" s="33" t="s">
        <v>231</v>
      </c>
      <c r="N22" s="33" t="s">
        <v>232</v>
      </c>
      <c r="O22" s="33" t="s">
        <v>233</v>
      </c>
    </row>
    <row r="23" spans="1:29" ht="19.5" customHeight="1" x14ac:dyDescent="0.25">
      <c r="B23" s="77" t="s">
        <v>89</v>
      </c>
      <c r="C23" s="3" t="str" cm="1">
        <f t="array" ref="C23">INDEX(Einsparungen[#All],3,Sprachen!F25)</f>
        <v>Massnahme</v>
      </c>
      <c r="D23" s="101" t="s">
        <v>132</v>
      </c>
      <c r="E23" s="102"/>
      <c r="F23" s="102"/>
      <c r="G23" s="103"/>
      <c r="I23" s="70">
        <f>IF(OR(OR(D23=Sprachen!B3,D23=Sprachen!C3,D23=Sprachen!D3,D23=Sprachen!E3),OR(D23=Sprachen!B9,D23=Sprachen!C9,D23=Sprachen!D9,D23=Sprachen!E9),OR(D23=Sprachen!B10,D23=Sprachen!C10,D23=Sprachen!D10,D23=Sprachen!E10)),1,0)</f>
        <v>0</v>
      </c>
      <c r="J23" s="33">
        <f>IF(OR(D23=Sprachen!B4,D23=Sprachen!C4,D23=Sprachen!D4,D23=Sprachen!E4),2,0)</f>
        <v>0</v>
      </c>
      <c r="K23" s="33">
        <f>IF(OR(D23=Sprachen!B5,D23=Sprachen!C5,D23=Sprachen!D5,D23=Sprachen!E5),3,0)</f>
        <v>0</v>
      </c>
      <c r="L23" s="33">
        <f>IF(OR(D23=Sprachen!B6,D23=Sprachen!C6,D23=Sprachen!D6,D23=Sprachen!E6),4,0)</f>
        <v>0</v>
      </c>
      <c r="M23" s="33">
        <f>IF(OR(D23=Sprachen!B7,D23=Sprachen!C7,D23=Sprachen!D7,D23=Sprachen!E7),5,0)</f>
        <v>0</v>
      </c>
      <c r="N23" s="33">
        <f>IF(OR(D23=Sprachen!B8,D23=Sprachen!C8,D23=Sprachen!D8,D23=Sprachen!E8),6,0)</f>
        <v>0</v>
      </c>
      <c r="O23" s="33">
        <f>SUM(I23:N23)</f>
        <v>0</v>
      </c>
      <c r="P23" s="87" t="str" cm="1">
        <f t="array" ref="P23">IF(OR(D23=Sprachen!B10,D23=Sprachen!C10,D23=Sprachen!D10,D23=Sprachen!E10),INDEX(sonstiges[#All],19,Sprachen!F25),"")</f>
        <v/>
      </c>
      <c r="Q23" s="87"/>
      <c r="R23" s="87"/>
      <c r="S23" s="87"/>
      <c r="T23" s="87"/>
      <c r="U23" s="87"/>
      <c r="V23" s="87"/>
    </row>
    <row r="24" spans="1:29" ht="19.5" customHeight="1" x14ac:dyDescent="0.25">
      <c r="B24" s="78"/>
      <c r="C24" s="3" t="str" cm="1">
        <f t="array" ref="C24">INDEX(Einsparungen[#All],2,Sprachen!F25)</f>
        <v>Basis Einsparberechnung</v>
      </c>
      <c r="D24" s="101" t="s">
        <v>21</v>
      </c>
      <c r="E24" s="102"/>
      <c r="F24" s="102"/>
      <c r="G24" s="103"/>
      <c r="I24" s="70">
        <f>IF(OR(D24=Sprachen!H3,D24=Sprachen!I3,D24=Sprachen!J3,D24=Sprachen!K3),1,0)</f>
        <v>0</v>
      </c>
      <c r="J24" s="33">
        <f>IF(I25="klein",Einsparungen_pauschal!F5,IF(I25="mittel",Einsparungen_pauschal!G5,IF(Anmeldung!I25="gross",Einsparungen_pauschal!H5,0)))</f>
        <v>2700</v>
      </c>
      <c r="K24" s="33">
        <f>IF(I25="klein",Einsparungen_pauschal!F8,IF(I25="mittel",Einsparungen_pauschal!G8,IF(Anmeldung!I25="gross",Einsparungen_pauschal!H8,0)))</f>
        <v>835</v>
      </c>
      <c r="L24" s="33">
        <f>IF(I25="klein",Einsparungen_pauschal!F11,IF(I25="mittel",Einsparungen_pauschal!G11,IF(Anmeldung!I25="gross",Einsparungen_pauschal!H11,0)))</f>
        <v>2004</v>
      </c>
      <c r="M24" s="33">
        <f>IF(I25="klein",Einsparungen_pauschal!F14,IF(I25="mittel",Einsparungen_pauschal!G14,IF(Anmeldung!I25="gross",Einsparungen_pauschal!H14,0)))</f>
        <v>2004</v>
      </c>
      <c r="N24" s="33">
        <f>IF(I25="klein",Einsparungen_pauschal!F17,IF(I25="mittel",Einsparungen_pauschal!G17,IF(Anmeldung!I25="gross",Einsparungen_pauschal!H17,0)))</f>
        <v>1002</v>
      </c>
      <c r="P24" s="93" t="str" cm="1">
        <f t="array" ref="P24">IF(Sprachen!AA2&gt;0, INDEX(Unterlagen[#All],Sprachen!AA2,Sprachen!F25),"")</f>
        <v/>
      </c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9.5" customHeight="1" x14ac:dyDescent="0.25">
      <c r="B25" s="78"/>
      <c r="C25" s="3" t="str" cm="1">
        <f t="array" ref="C25">IF(I24=0,INDEX(Einsparungen[#All],4,Sprachen!F25),INDEX(Einsparungen[#All],7,Sprachen!F25))</f>
        <v>Jahresverbrauch vorher [kWh]</v>
      </c>
      <c r="D25" s="95"/>
      <c r="E25" s="96"/>
      <c r="F25" s="96"/>
      <c r="G25" s="97"/>
      <c r="I25" s="70" t="str">
        <f>IF(D25&lt;10,"klein",IF(D25&lt;100,"mittel",IF(D25&gt;=100,"gross",0)))</f>
        <v>klein</v>
      </c>
      <c r="J25" s="60"/>
      <c r="O25" s="33" t="str">
        <f>MID(D23,1,2)</f>
        <v>se</v>
      </c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9.5" customHeight="1" x14ac:dyDescent="0.25">
      <c r="B26" s="78"/>
      <c r="C26" s="3" t="str" cm="1">
        <f t="array" ref="C26">IF(I24=0,INDEX(Einsparungen[#All],5,Sprachen!F25),INDEX(Einsparungen[#All],8,Sprachen!F25))</f>
        <v>Jahresverbrauch nachher [kWh]</v>
      </c>
      <c r="D26" s="95"/>
      <c r="E26" s="96"/>
      <c r="F26" s="96"/>
      <c r="G26" s="97"/>
      <c r="I26" s="70">
        <f>IF(AND(I24=1,D25&gt;5),IF(J23&gt;0,J24,IF(K23&gt;0,K24,IF(L23&gt;0,L24,IF(M23&gt;0,M24,IF(N23&gt;0,N24,0))))),0)</f>
        <v>0</v>
      </c>
      <c r="J26" s="60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9.5" customHeight="1" x14ac:dyDescent="0.25">
      <c r="B27" s="79"/>
      <c r="C27" s="4" t="str" cm="1">
        <f t="array" ref="C27">INDEX(Einsparungen[#All],6,Sprachen!F25)</f>
        <v>Energieeinsparung (Strom) [kWh]</v>
      </c>
      <c r="D27" s="98">
        <f>IF(I24=0,IF(AND(D25-D26&gt;0,D26&gt;0),D25-D26,0),I26)</f>
        <v>0</v>
      </c>
      <c r="E27" s="99"/>
      <c r="F27" s="99"/>
      <c r="G27" s="100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s="33" customFormat="1" ht="5.25" customHeight="1" x14ac:dyDescent="0.25">
      <c r="A28" s="54"/>
      <c r="B28" s="54"/>
      <c r="C28" s="54"/>
      <c r="D28" s="54"/>
      <c r="E28" s="54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s="33" customFormat="1" ht="5.25" customHeight="1" x14ac:dyDescent="0.25">
      <c r="B29" s="55"/>
      <c r="C29" s="56"/>
      <c r="E29" s="56"/>
      <c r="F29" s="56"/>
    </row>
    <row r="30" spans="1:29" ht="63" customHeight="1" x14ac:dyDescent="0.25">
      <c r="B30" s="17" t="str" cm="1">
        <f t="array" ref="B30">INDEX(sonstiges[#All],7,Sprachen!F25)</f>
        <v>Kommentar</v>
      </c>
      <c r="C30" s="105"/>
      <c r="D30" s="105"/>
      <c r="E30" s="105"/>
      <c r="F30" s="105"/>
      <c r="G30" s="105"/>
      <c r="J30" s="33" t="s">
        <v>23</v>
      </c>
    </row>
    <row r="31" spans="1:29" s="33" customFormat="1" ht="5.45" customHeight="1" x14ac:dyDescent="0.25">
      <c r="H31" s="32"/>
      <c r="I31" s="32"/>
      <c r="J31" s="32"/>
      <c r="K31" s="32"/>
      <c r="L31" s="32"/>
    </row>
    <row r="32" spans="1:29" s="33" customFormat="1" ht="5.45" customHeight="1" x14ac:dyDescent="0.25">
      <c r="H32" s="32"/>
      <c r="I32" s="32"/>
      <c r="J32" s="32"/>
      <c r="K32" s="32"/>
      <c r="L32" s="32"/>
    </row>
    <row r="33" spans="1:24" ht="22.5" customHeight="1" x14ac:dyDescent="0.25">
      <c r="B33" s="110" t="str" cm="1">
        <f t="array" ref="B33">INDEX(sonstiges[#All],9,Sprachen!F25)</f>
        <v>Förder- bedingungen</v>
      </c>
      <c r="C33" s="18" t="str" cm="1">
        <f t="array" aca="1" ref="C33:C36" ca="1">INDIRECT("Förderbedingungen"&amp;"["&amp;INDIRECT("Anmeldung!E3")&amp;"]")</f>
        <v>Investition</v>
      </c>
      <c r="D33" s="37"/>
      <c r="E33" s="16" t="s">
        <v>2</v>
      </c>
      <c r="F33" s="89" t="str" cm="1">
        <f t="array" ref="F33">IF(D33&gt;299000, INDEX(Hinweise[#All],3,Sprachen!F25),"")</f>
        <v/>
      </c>
      <c r="G33" s="90"/>
      <c r="H33" s="9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4" x14ac:dyDescent="0.25">
      <c r="B34" s="110"/>
      <c r="C34" s="18" t="str">
        <f ca="1"/>
        <v>max. Förderbeitrag (30% der Investition)</v>
      </c>
      <c r="D34" s="19">
        <f>MIN(100000,$D$33*0.3)</f>
        <v>0</v>
      </c>
      <c r="E34" s="16" t="s">
        <v>2</v>
      </c>
      <c r="F34" s="56"/>
      <c r="G34" s="56"/>
      <c r="K34" s="34"/>
    </row>
    <row r="35" spans="1:24" x14ac:dyDescent="0.25">
      <c r="B35" s="110"/>
      <c r="C35" s="18" t="str">
        <f ca="1"/>
        <v>Einsparung Stromkosten pro Jahr</v>
      </c>
      <c r="D35" s="20">
        <f>D27*0.15</f>
        <v>0</v>
      </c>
      <c r="E35" s="16" t="s">
        <v>2</v>
      </c>
      <c r="F35" s="56"/>
      <c r="G35" s="56"/>
      <c r="K35" s="34"/>
    </row>
    <row r="36" spans="1:24" ht="19.5" customHeight="1" x14ac:dyDescent="0.25">
      <c r="B36" s="110"/>
      <c r="C36" s="18" t="str">
        <f ca="1"/>
        <v>Payback (x&gt;4 Jahre)</v>
      </c>
      <c r="D36" s="38">
        <f>IF(D35=0,0,D33/D35)</f>
        <v>0</v>
      </c>
      <c r="E36" s="16" t="str" cm="1">
        <f t="array" ref="E36">INDEX(sonstiges[#All],11,Sprachen!F25)</f>
        <v>Jahre</v>
      </c>
      <c r="F36" s="91" t="str" cm="1">
        <f t="array" ref="F36">IF(AND(0&lt;D36,D36&lt;4),INDEX(Hinweise[#All],2,Sprachen!F25),"")</f>
        <v/>
      </c>
      <c r="G36" s="92"/>
      <c r="H36" s="92"/>
      <c r="K36" s="34"/>
    </row>
    <row r="37" spans="1:24" s="33" customFormat="1" ht="5.45" customHeight="1" x14ac:dyDescent="0.25">
      <c r="H37" s="32"/>
      <c r="I37" s="32"/>
      <c r="J37" s="32"/>
      <c r="K37" s="32"/>
      <c r="L37" s="32"/>
    </row>
    <row r="38" spans="1:24" s="33" customFormat="1" ht="5.25" customHeight="1" x14ac:dyDescent="0.25">
      <c r="H38" s="32"/>
      <c r="I38" s="32"/>
      <c r="J38" s="32"/>
      <c r="K38" s="32"/>
      <c r="L38" s="32"/>
    </row>
    <row r="39" spans="1:24" ht="19.5" customHeight="1" x14ac:dyDescent="0.25">
      <c r="B39" s="77" t="str" cm="1">
        <f t="array" ref="B39">INDEX(sonstiges[#All],6,Sprachen!$F$25)</f>
        <v>Kontrolle der Anforderungen</v>
      </c>
      <c r="C39" s="30" t="str" cm="1">
        <f t="array" ref="C39">INDEX(KontrolleAnforderungen[#All],2,Sprachen!$F$25)</f>
        <v>Treffen nachfolgende Punkte zu?</v>
      </c>
      <c r="D39" s="43" t="s">
        <v>80</v>
      </c>
      <c r="E39" s="33"/>
      <c r="F39" s="33"/>
      <c r="G39" s="33"/>
      <c r="H39" s="32"/>
      <c r="I39" s="5">
        <f>IF(OR(D39="NEIN",D39="NO",D39="NON"),2,1)</f>
        <v>2</v>
      </c>
      <c r="J39" s="32"/>
      <c r="K39" s="32"/>
      <c r="L39" s="32"/>
    </row>
    <row r="40" spans="1:24" ht="19.5" customHeight="1" x14ac:dyDescent="0.25">
      <c r="A40" s="54"/>
      <c r="B40" s="78"/>
      <c r="C40" s="81" t="str" cm="1">
        <f t="array" ref="C40">INDEX(KontrolleAnforderungen[#All],3,Sprachen!$F$25)</f>
        <v>- Für diese Massnahme besteht keine Verpflichtung, z.B. in Zielvereinbarung ZV (EnAW, ACT)</v>
      </c>
      <c r="D40" s="81"/>
      <c r="E40" s="81"/>
      <c r="F40" s="81"/>
      <c r="G40" s="82"/>
    </row>
    <row r="41" spans="1:24" ht="18" customHeight="1" x14ac:dyDescent="0.25">
      <c r="A41" s="54"/>
      <c r="B41" s="78"/>
      <c r="C41" s="85" t="str" cm="1">
        <f t="array" ref="C41">INDEX(KontrolleAnforderungen[#All],4,Sprachen!$F$25)</f>
        <v xml:space="preserve">- Es werden keine weiteren Fördergelder für die Massnahme beansprucht </v>
      </c>
      <c r="D41" s="85"/>
      <c r="E41" s="85"/>
      <c r="F41" s="85"/>
      <c r="G41" s="86"/>
    </row>
    <row r="42" spans="1:24" ht="21" customHeight="1" x14ac:dyDescent="0.25">
      <c r="A42" s="54"/>
      <c r="B42" s="79"/>
      <c r="C42" s="83" t="str" cm="1">
        <f t="array" ref="C42">INDEX(KontrolleAnforderungen[#All],5,Sprachen!$F$25)</f>
        <v>- Die Investition ist zum Zeitpunkt der Antragstellung noch nicht bestellt</v>
      </c>
      <c r="D42" s="83"/>
      <c r="E42" s="83"/>
      <c r="F42" s="83"/>
      <c r="G42" s="84"/>
    </row>
    <row r="43" spans="1:24" ht="21" customHeight="1" x14ac:dyDescent="0.25">
      <c r="A43" s="54"/>
      <c r="B43" s="75"/>
      <c r="C43" s="74"/>
      <c r="D43" s="74"/>
      <c r="E43" s="74"/>
      <c r="F43" s="74"/>
      <c r="G43" s="74"/>
    </row>
    <row r="44" spans="1:24" ht="21" customHeight="1" x14ac:dyDescent="0.25">
      <c r="A44" s="54"/>
      <c r="B44" s="77" t="str" cm="1">
        <f t="array" ref="B44">INDEX(sonstiges[#All],6,Sprachen!$F$25)</f>
        <v>Kontrolle der Anforderungen</v>
      </c>
      <c r="C44" s="30" t="str" cm="1">
        <f t="array" ref="C44">INDEX(KontrolleAnforderungen[#All],2,Sprachen!$F$25)</f>
        <v>Treffen nachfolgende Punkte zu?</v>
      </c>
      <c r="D44" s="43" t="s">
        <v>80</v>
      </c>
      <c r="E44" s="33"/>
      <c r="F44" s="33"/>
      <c r="G44" s="33"/>
      <c r="I44" s="5">
        <f>IF(OR(D44="NEIN",D44="NO",D44="NON"),2,1)</f>
        <v>2</v>
      </c>
    </row>
    <row r="45" spans="1:24" ht="37.5" customHeight="1" x14ac:dyDescent="0.25">
      <c r="A45" s="54"/>
      <c r="B45" s="78"/>
      <c r="C45" s="80" t="str" cm="1">
        <f t="array" ref="C45">INDEX(KontrolleAnforderungen[#All],7,Sprachen!$F$25)</f>
        <v>- Beim Ersatz des Motors: hat der Motor eine EU-Effizienzklasse von IE4 oder besser? (falls Motor separat gemessen werden kann)</v>
      </c>
      <c r="D45" s="81"/>
      <c r="E45" s="81"/>
      <c r="F45" s="81"/>
      <c r="G45" s="82"/>
    </row>
    <row r="46" spans="1:24" ht="36.75" customHeight="1" x14ac:dyDescent="0.25">
      <c r="A46" s="54"/>
      <c r="B46" s="78"/>
      <c r="C46" s="85" t="str" cm="1">
        <f t="array" ref="C46">INDEX(KontrolleAnforderungen[#All],8,Sprachen!$F$25)</f>
        <v>- Beim Ersatz der Klimakälteanlage: werden für Klimakälteanlagen die Anforderung an den EER eingehalten? (vgl. Tabellen rechts)</v>
      </c>
      <c r="D46" s="85"/>
      <c r="E46" s="85"/>
      <c r="F46" s="85"/>
      <c r="G46" s="86"/>
    </row>
    <row r="47" spans="1:24" s="33" customFormat="1" ht="19.5" customHeight="1" x14ac:dyDescent="0.25">
      <c r="A47" s="54"/>
      <c r="B47" s="79"/>
      <c r="C47" s="83" t="str" cm="1">
        <f t="array" ref="C47">INDEX(KontrolleAnforderungen[#All],9,Sprachen!$F$25)</f>
        <v>- Darf gemäss ChemRRV das Kältemittel der bestehenden Anlage noch nachgefüllt werden?</v>
      </c>
      <c r="D47" s="83"/>
      <c r="E47" s="83"/>
      <c r="F47" s="83"/>
      <c r="G47" s="84"/>
    </row>
    <row r="48" spans="1:24" s="33" customFormat="1" ht="8.25" customHeight="1" thickBot="1" x14ac:dyDescent="0.3">
      <c r="H48" s="32"/>
      <c r="I48" s="32"/>
      <c r="J48" s="32"/>
      <c r="K48" s="32"/>
      <c r="L48" s="32"/>
    </row>
    <row r="49" spans="2:12" ht="30.75" customHeight="1" thickBot="1" x14ac:dyDescent="0.3">
      <c r="B49" s="106" t="str" cm="1">
        <f t="array" ref="B49">INDEX(sonstiges[#All],10,Sprachen!F25)</f>
        <v>Reservierter Förderbeitrag</v>
      </c>
      <c r="C49" s="107"/>
      <c r="D49" s="62">
        <f>IF(AND(D36&gt;=4,D33&lt;300000,I39=1,I44=1),MAX(ROUND(MIN(D27*15*0.75*0.0247,D34)/0.05,0)*0.05,500),0)</f>
        <v>0</v>
      </c>
      <c r="E49" s="21" t="s">
        <v>2</v>
      </c>
      <c r="F49" s="108" t="str" cm="1">
        <f t="array" ref="F49">IF(AND(D36&gt;=4,D33&lt;300000,I39=2),INDEX(Hinweise[#All],4,Sprachen!F25),"")</f>
        <v/>
      </c>
      <c r="G49" s="109"/>
      <c r="H49" s="109"/>
      <c r="K49" s="34"/>
    </row>
    <row r="50" spans="2:12" s="33" customFormat="1" ht="5.45" customHeight="1" x14ac:dyDescent="0.25">
      <c r="H50" s="32"/>
      <c r="I50" s="32"/>
      <c r="J50" s="32"/>
      <c r="K50" s="32"/>
      <c r="L50" s="32"/>
    </row>
    <row r="51" spans="2:12" s="33" customFormat="1" ht="19.5" customHeight="1" x14ac:dyDescent="0.25">
      <c r="B51" s="72" t="str" cm="1">
        <f t="array" ref="B51">IF(D24=INDEX(Messung[#All],2,Sprachen!F25),INDEX(sonstiges[#All],18,Sprachen!F25),INDEX(sonstiges[#All],14,Sprachen!F25))</f>
        <v>Formular und nachvollziehbare Berechnung einreichen/hochladen:</v>
      </c>
      <c r="C51" s="57"/>
      <c r="E51" s="56"/>
      <c r="F51" s="58" t="s">
        <v>0</v>
      </c>
      <c r="I51" s="59"/>
    </row>
    <row r="52" spans="2:12" s="33" customFormat="1" ht="19.5" customHeight="1" x14ac:dyDescent="0.3">
      <c r="B52" s="60"/>
      <c r="C52" s="73" t="s">
        <v>258</v>
      </c>
      <c r="D52" s="32"/>
      <c r="E52" s="56"/>
      <c r="F52" s="58" t="s">
        <v>114</v>
      </c>
      <c r="H52" s="32"/>
      <c r="I52" s="32"/>
      <c r="J52" s="32"/>
      <c r="K52" s="32"/>
      <c r="L52" s="32"/>
    </row>
    <row r="53" spans="2:12" s="33" customFormat="1" ht="19.5" customHeight="1" x14ac:dyDescent="0.25">
      <c r="B53" s="57"/>
      <c r="C53" s="57"/>
      <c r="D53" s="32"/>
      <c r="E53" s="56"/>
      <c r="F53" s="104" t="s">
        <v>250</v>
      </c>
      <c r="G53" s="104"/>
      <c r="H53" s="104"/>
      <c r="I53" s="32"/>
      <c r="J53" s="32"/>
      <c r="K53" s="32"/>
      <c r="L53" s="32"/>
    </row>
    <row r="54" spans="2:12" s="33" customFormat="1" ht="5.45" customHeight="1" x14ac:dyDescent="0.25">
      <c r="H54" s="32"/>
      <c r="I54" s="32"/>
      <c r="J54" s="32"/>
      <c r="K54" s="32"/>
      <c r="L54" s="32"/>
    </row>
    <row r="55" spans="2:12" s="33" customFormat="1" x14ac:dyDescent="0.25"/>
    <row r="56" spans="2:12" s="33" customFormat="1" ht="19.5" customHeight="1" x14ac:dyDescent="0.25">
      <c r="B56" s="61"/>
      <c r="C56" s="52"/>
      <c r="D56" s="52"/>
      <c r="E56" s="52"/>
      <c r="F56" s="52"/>
      <c r="G56" s="52"/>
      <c r="H56" s="52"/>
    </row>
    <row r="57" spans="2:12" s="33" customFormat="1" ht="19.5" customHeight="1" x14ac:dyDescent="0.25">
      <c r="B57" s="94"/>
      <c r="C57" s="94"/>
      <c r="D57" s="94"/>
      <c r="E57" s="94"/>
      <c r="F57" s="94"/>
      <c r="G57" s="94"/>
      <c r="H57" s="94"/>
    </row>
    <row r="58" spans="2:12" s="33" customFormat="1" x14ac:dyDescent="0.25"/>
    <row r="59" spans="2:12" s="33" customFormat="1" x14ac:dyDescent="0.25"/>
    <row r="60" spans="2:12" s="33" customFormat="1" x14ac:dyDescent="0.25"/>
    <row r="61" spans="2:12" s="33" customFormat="1" x14ac:dyDescent="0.25"/>
    <row r="62" spans="2:12" s="33" customFormat="1" x14ac:dyDescent="0.25"/>
    <row r="63" spans="2:12" s="33" customFormat="1" x14ac:dyDescent="0.25"/>
    <row r="64" spans="2:12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  <row r="119" s="33" customFormat="1" x14ac:dyDescent="0.25"/>
    <row r="120" s="33" customFormat="1" x14ac:dyDescent="0.25"/>
    <row r="121" s="33" customFormat="1" x14ac:dyDescent="0.25"/>
    <row r="122" s="33" customFormat="1" x14ac:dyDescent="0.25"/>
    <row r="123" s="33" customFormat="1" x14ac:dyDescent="0.25"/>
    <row r="124" s="33" customFormat="1" x14ac:dyDescent="0.25"/>
    <row r="125" s="33" customFormat="1" x14ac:dyDescent="0.25"/>
    <row r="126" s="33" customFormat="1" x14ac:dyDescent="0.25"/>
    <row r="127" s="33" customFormat="1" x14ac:dyDescent="0.25"/>
    <row r="128" s="33" customFormat="1" x14ac:dyDescent="0.25"/>
    <row r="129" s="33" customFormat="1" x14ac:dyDescent="0.25"/>
  </sheetData>
  <sheetProtection algorithmName="SHA-512" hashValue="hBGul06QXUcdt5hVwt4hEnknj0Aa0eDH47vePGw7YA82uYnxn/eo1D3gnZpPjgzVLU5bXWgy2IIKxTGQj9kQuA==" saltValue="ma8rZ1sqyop5eSVOjabrxg==" spinCount="100000" sheet="1" selectLockedCells="1"/>
  <mergeCells count="38">
    <mergeCell ref="B9:B12"/>
    <mergeCell ref="D11:G11"/>
    <mergeCell ref="D12:G12"/>
    <mergeCell ref="B14:B21"/>
    <mergeCell ref="D14:G14"/>
    <mergeCell ref="D15:G15"/>
    <mergeCell ref="D19:G19"/>
    <mergeCell ref="D20:G20"/>
    <mergeCell ref="D9:G9"/>
    <mergeCell ref="D10:G10"/>
    <mergeCell ref="D16:G16"/>
    <mergeCell ref="D18:E18"/>
    <mergeCell ref="D21:G21"/>
    <mergeCell ref="B57:H57"/>
    <mergeCell ref="B23:B27"/>
    <mergeCell ref="D25:G25"/>
    <mergeCell ref="D26:G26"/>
    <mergeCell ref="D27:G27"/>
    <mergeCell ref="D24:G24"/>
    <mergeCell ref="C40:G40"/>
    <mergeCell ref="C41:G41"/>
    <mergeCell ref="C42:G42"/>
    <mergeCell ref="D23:G23"/>
    <mergeCell ref="F53:H53"/>
    <mergeCell ref="C30:G30"/>
    <mergeCell ref="B49:C49"/>
    <mergeCell ref="F49:H49"/>
    <mergeCell ref="B39:B42"/>
    <mergeCell ref="B33:B36"/>
    <mergeCell ref="B44:B47"/>
    <mergeCell ref="C45:G45"/>
    <mergeCell ref="C47:G47"/>
    <mergeCell ref="C46:G46"/>
    <mergeCell ref="P23:V23"/>
    <mergeCell ref="K33:X33"/>
    <mergeCell ref="F33:H33"/>
    <mergeCell ref="F36:H36"/>
    <mergeCell ref="P24:AC28"/>
  </mergeCells>
  <conditionalFormatting sqref="D29">
    <cfRule type="containsText" dxfId="7" priority="57" operator="containsText" text="JA">
      <formula>NOT(ISERROR(SEARCH("JA",D29)))</formula>
    </cfRule>
    <cfRule type="containsText" dxfId="6" priority="58" operator="containsText" text="NEIN">
      <formula>NOT(ISERROR(SEARCH("NEIN",D29)))</formula>
    </cfRule>
    <cfRule type="containsText" dxfId="5" priority="59" operator="containsText" text="JA">
      <formula>NOT(ISERROR(SEARCH("JA",D29)))</formula>
    </cfRule>
    <cfRule type="containsText" dxfId="4" priority="60" operator="containsText" text="NEIN">
      <formula>NOT(ISERROR(SEARCH("NEIN",D29)))</formula>
    </cfRule>
  </conditionalFormatting>
  <conditionalFormatting sqref="D36">
    <cfRule type="cellIs" dxfId="3" priority="75" operator="lessThan">
      <formula>4</formula>
    </cfRule>
    <cfRule type="cellIs" dxfId="2" priority="76" operator="greaterThan">
      <formula>4</formula>
    </cfRule>
  </conditionalFormatting>
  <conditionalFormatting sqref="D49">
    <cfRule type="cellIs" dxfId="1" priority="54" operator="equal">
      <formula>0</formula>
    </cfRule>
    <cfRule type="cellIs" dxfId="0" priority="55" operator="greaterThan">
      <formula>0</formula>
    </cfRule>
  </conditionalFormatting>
  <dataValidations count="6">
    <dataValidation type="list" allowBlank="1" showInputMessage="1" showErrorMessage="1" sqref="D31 D29" xr:uid="{00000000-0002-0000-0000-000000000000}">
      <formula1>"Ja,Nein"</formula1>
    </dataValidation>
    <dataValidation type="list" allowBlank="1" showInputMessage="1" showErrorMessage="1" sqref="D23:G23" xr:uid="{EAED81D4-CD73-4A23-AFC4-7E8C7A2B808E}">
      <formula1>INDIRECT("Massnahme"&amp;"["&amp;INDIRECT("Anmeldung!E3")&amp;"]")</formula1>
    </dataValidation>
    <dataValidation type="list" allowBlank="1" showInputMessage="1" showErrorMessage="1" sqref="D17" xr:uid="{9A01F0AB-BC2F-4395-97C1-59970976D526}">
      <formula1>INDIRECT("Anrede"&amp;"["&amp;INDIRECT("Anmeldung!E3")&amp;"]")</formula1>
    </dataValidation>
    <dataValidation type="list" allowBlank="1" showInputMessage="1" showErrorMessage="1" sqref="D39 D44" xr:uid="{F22F99D4-4368-457C-9E6E-CCA1C01A1727}">
      <formula1>INDIRECT("janein"&amp;"["&amp;INDIRECT("Anmeldung!E3")&amp;"]")</formula1>
    </dataValidation>
    <dataValidation type="list" allowBlank="1" showInputMessage="1" showErrorMessage="1" sqref="E3" xr:uid="{D05CD06D-23A2-4B57-AA39-997630E33897}">
      <formula1>"DE,FR,IT"</formula1>
    </dataValidation>
    <dataValidation type="list" allowBlank="1" showInputMessage="1" showErrorMessage="1" sqref="D24:G24" xr:uid="{71B86FDD-FB3A-41A2-B55E-84D0B9762B81}">
      <formula1>IF($O$23=1,INDIRECT("Messung2"&amp;"["&amp;INDIRECT("Anmeldung!E3")&amp;"]"),INDIRECT("Messung"&amp;"["&amp;INDIRECT("Anmeldung!E3")&amp;"]"))</formula1>
    </dataValidation>
  </dataValidations>
  <hyperlinks>
    <hyperlink ref="F53" r:id="rId1" xr:uid="{66F0FDA3-62F4-441C-A4E1-9CDC5EEBA126}"/>
    <hyperlink ref="P23" r:id="rId2" display="https://profrio.enerprice.ch/antrag/Berechnung_Einsparungen_Freecooling.xlsx" xr:uid="{36CAB666-BC14-4A3F-A7AC-B566A101F6CC}"/>
    <hyperlink ref="C52" r:id="rId3" display="Formular einreichen (Punkt 3)" xr:uid="{0C67F4AC-CBAC-4745-85E1-16889E40027C}"/>
    <hyperlink ref="F33:H33" r:id="rId4" display="mailto:profrio@enerprice-partners.ch" xr:uid="{2DF807E9-77BB-4844-8662-DA9E46DC6DE6}"/>
  </hyperlinks>
  <pageMargins left="0.7" right="0.7" top="0.75" bottom="0.75" header="0.3" footer="0.3"/>
  <pageSetup paperSize="9" scale="75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43C3-A671-461E-A65F-C916C581E39D}">
  <sheetPr codeName="Tabelle2"/>
  <dimension ref="A1:AA48"/>
  <sheetViews>
    <sheetView topLeftCell="S1" zoomScale="70" zoomScaleNormal="70" workbookViewId="0">
      <selection activeCell="U22" sqref="U22"/>
    </sheetView>
  </sheetViews>
  <sheetFormatPr baseColWidth="10" defaultRowHeight="15" x14ac:dyDescent="0.25"/>
  <cols>
    <col min="2" max="2" width="15.140625" customWidth="1"/>
    <col min="3" max="3" width="115.7109375" bestFit="1" customWidth="1"/>
    <col min="4" max="4" width="100.42578125" bestFit="1" customWidth="1"/>
    <col min="5" max="5" width="39.140625" bestFit="1" customWidth="1"/>
    <col min="8" max="8" width="20.42578125" bestFit="1" customWidth="1"/>
    <col min="9" max="9" width="29.42578125" bestFit="1" customWidth="1"/>
    <col min="10" max="10" width="29.85546875" bestFit="1" customWidth="1"/>
    <col min="11" max="11" width="20.42578125" bestFit="1" customWidth="1"/>
    <col min="14" max="14" width="11.7109375" bestFit="1" customWidth="1"/>
    <col min="21" max="21" width="87.140625" customWidth="1"/>
    <col min="22" max="24" width="81.85546875" customWidth="1"/>
    <col min="25" max="25" width="5.28515625" customWidth="1"/>
    <col min="26" max="26" width="3.28515625" customWidth="1"/>
  </cols>
  <sheetData>
    <row r="1" spans="1:27" x14ac:dyDescent="0.25">
      <c r="A1" t="s">
        <v>64</v>
      </c>
      <c r="B1" t="s">
        <v>25</v>
      </c>
      <c r="C1" t="s">
        <v>26</v>
      </c>
      <c r="D1" t="s">
        <v>27</v>
      </c>
      <c r="E1" t="s">
        <v>34</v>
      </c>
      <c r="G1" t="s">
        <v>22</v>
      </c>
      <c r="H1" s="28" t="s">
        <v>25</v>
      </c>
      <c r="I1" s="26" t="s">
        <v>26</v>
      </c>
      <c r="J1" s="26" t="s">
        <v>27</v>
      </c>
      <c r="K1" s="29" t="s">
        <v>34</v>
      </c>
      <c r="M1" t="s">
        <v>4</v>
      </c>
      <c r="N1" s="28" t="s">
        <v>25</v>
      </c>
      <c r="O1" s="26" t="s">
        <v>26</v>
      </c>
      <c r="P1" s="26" t="s">
        <v>27</v>
      </c>
      <c r="Q1" s="29" t="s">
        <v>34</v>
      </c>
      <c r="T1" t="s">
        <v>284</v>
      </c>
      <c r="U1" s="26" t="s">
        <v>25</v>
      </c>
      <c r="V1" s="26" t="s">
        <v>26</v>
      </c>
      <c r="W1" s="26" t="s">
        <v>27</v>
      </c>
      <c r="X1" s="26" t="s">
        <v>34</v>
      </c>
    </row>
    <row r="2" spans="1:27" ht="60" x14ac:dyDescent="0.25">
      <c r="B2" t="s">
        <v>132</v>
      </c>
      <c r="C2" t="s">
        <v>132</v>
      </c>
      <c r="D2" t="s">
        <v>132</v>
      </c>
      <c r="E2" t="s">
        <v>132</v>
      </c>
      <c r="H2" t="s">
        <v>21</v>
      </c>
      <c r="I2" t="s">
        <v>35</v>
      </c>
      <c r="J2" t="s">
        <v>36</v>
      </c>
      <c r="K2" t="s">
        <v>37</v>
      </c>
      <c r="N2" t="s">
        <v>3</v>
      </c>
      <c r="O2" t="s">
        <v>48</v>
      </c>
      <c r="P2" t="s">
        <v>47</v>
      </c>
      <c r="Q2" t="s">
        <v>46</v>
      </c>
      <c r="U2" s="76" t="s">
        <v>285</v>
      </c>
      <c r="V2" s="76" t="s">
        <v>308</v>
      </c>
      <c r="W2" s="76" t="s">
        <v>301</v>
      </c>
      <c r="X2" s="76" t="s">
        <v>294</v>
      </c>
      <c r="Y2" t="s">
        <v>286</v>
      </c>
      <c r="Z2">
        <v>2</v>
      </c>
      <c r="AA2">
        <f>IFERROR(VLOOKUP(Anmeldung!O25,Sprachen!Y2:Z12,2,FALSE),0)</f>
        <v>0</v>
      </c>
    </row>
    <row r="3" spans="1:27" ht="30" x14ac:dyDescent="0.25">
      <c r="B3" t="s">
        <v>211</v>
      </c>
      <c r="C3" s="5" t="s">
        <v>242</v>
      </c>
      <c r="D3" s="5" t="s">
        <v>243</v>
      </c>
      <c r="E3" s="70" t="s">
        <v>65</v>
      </c>
      <c r="H3" t="s">
        <v>216</v>
      </c>
      <c r="I3" t="s">
        <v>196</v>
      </c>
      <c r="J3" t="s">
        <v>197</v>
      </c>
      <c r="K3" t="s">
        <v>198</v>
      </c>
      <c r="N3" t="s">
        <v>151</v>
      </c>
      <c r="O3" t="s">
        <v>150</v>
      </c>
      <c r="P3" t="s">
        <v>148</v>
      </c>
      <c r="Q3" t="s">
        <v>149</v>
      </c>
      <c r="U3" s="76" t="s">
        <v>289</v>
      </c>
      <c r="V3" s="76" t="s">
        <v>296</v>
      </c>
      <c r="W3" s="76" t="s">
        <v>297</v>
      </c>
      <c r="X3" s="76" t="s">
        <v>295</v>
      </c>
      <c r="Y3" t="s">
        <v>228</v>
      </c>
      <c r="Z3">
        <v>3</v>
      </c>
    </row>
    <row r="4" spans="1:27" ht="60" x14ac:dyDescent="0.25">
      <c r="B4" t="s">
        <v>212</v>
      </c>
      <c r="C4" s="5" t="s">
        <v>245</v>
      </c>
      <c r="D4" s="5" t="s">
        <v>244</v>
      </c>
      <c r="E4" s="70" t="s">
        <v>66</v>
      </c>
      <c r="N4" t="s">
        <v>49</v>
      </c>
      <c r="O4" t="s">
        <v>51</v>
      </c>
      <c r="P4" t="s">
        <v>52</v>
      </c>
      <c r="Q4" t="s">
        <v>50</v>
      </c>
      <c r="U4" s="76" t="s">
        <v>290</v>
      </c>
      <c r="V4" s="76" t="s">
        <v>307</v>
      </c>
      <c r="W4" s="76" t="s">
        <v>298</v>
      </c>
      <c r="X4" s="76" t="s">
        <v>302</v>
      </c>
      <c r="Y4" t="s">
        <v>229</v>
      </c>
      <c r="Z4">
        <v>4</v>
      </c>
    </row>
    <row r="5" spans="1:27" ht="30" x14ac:dyDescent="0.25">
      <c r="B5" t="s">
        <v>213</v>
      </c>
      <c r="C5" s="5" t="s">
        <v>246</v>
      </c>
      <c r="D5" s="5" t="s">
        <v>261</v>
      </c>
      <c r="E5" s="70" t="s">
        <v>67</v>
      </c>
      <c r="G5" t="s">
        <v>234</v>
      </c>
      <c r="H5" s="28" t="s">
        <v>25</v>
      </c>
      <c r="I5" s="26" t="s">
        <v>26</v>
      </c>
      <c r="J5" s="26" t="s">
        <v>27</v>
      </c>
      <c r="K5" s="29" t="s">
        <v>34</v>
      </c>
      <c r="N5" t="s">
        <v>13</v>
      </c>
      <c r="O5" t="s">
        <v>55</v>
      </c>
      <c r="P5" t="s">
        <v>53</v>
      </c>
      <c r="Q5" t="s">
        <v>54</v>
      </c>
      <c r="U5" s="76" t="s">
        <v>289</v>
      </c>
      <c r="V5" s="76" t="s">
        <v>296</v>
      </c>
      <c r="W5" s="76" t="s">
        <v>297</v>
      </c>
      <c r="X5" s="76" t="s">
        <v>295</v>
      </c>
      <c r="Y5" t="s">
        <v>230</v>
      </c>
      <c r="Z5">
        <v>5</v>
      </c>
    </row>
    <row r="6" spans="1:27" ht="30" x14ac:dyDescent="0.25">
      <c r="B6" t="s">
        <v>214</v>
      </c>
      <c r="C6" s="5" t="s">
        <v>260</v>
      </c>
      <c r="D6" s="5" t="s">
        <v>262</v>
      </c>
      <c r="E6" s="70" t="s">
        <v>68</v>
      </c>
      <c r="H6" t="s">
        <v>21</v>
      </c>
      <c r="I6" t="s">
        <v>35</v>
      </c>
      <c r="J6" t="s">
        <v>36</v>
      </c>
      <c r="K6" t="s">
        <v>37</v>
      </c>
      <c r="U6" s="76" t="s">
        <v>289</v>
      </c>
      <c r="V6" s="76" t="s">
        <v>296</v>
      </c>
      <c r="W6" s="76" t="s">
        <v>297</v>
      </c>
      <c r="X6" s="76" t="s">
        <v>295</v>
      </c>
      <c r="Y6" t="s">
        <v>231</v>
      </c>
      <c r="Z6">
        <v>6</v>
      </c>
    </row>
    <row r="7" spans="1:27" ht="90" x14ac:dyDescent="0.25">
      <c r="B7" t="s">
        <v>263</v>
      </c>
      <c r="C7" s="5" t="s">
        <v>264</v>
      </c>
      <c r="D7" s="5" t="s">
        <v>265</v>
      </c>
      <c r="E7" s="70" t="s">
        <v>69</v>
      </c>
      <c r="N7" s="24"/>
      <c r="O7" s="24"/>
      <c r="P7" s="24"/>
      <c r="Q7" s="24"/>
      <c r="U7" s="76" t="s">
        <v>292</v>
      </c>
      <c r="V7" s="76" t="s">
        <v>306</v>
      </c>
      <c r="W7" s="76" t="s">
        <v>299</v>
      </c>
      <c r="X7" s="76" t="s">
        <v>303</v>
      </c>
      <c r="Y7" t="s">
        <v>232</v>
      </c>
      <c r="Z7">
        <v>7</v>
      </c>
    </row>
    <row r="8" spans="1:27" ht="60" x14ac:dyDescent="0.25">
      <c r="B8" t="s">
        <v>215</v>
      </c>
      <c r="C8" s="5" t="s">
        <v>259</v>
      </c>
      <c r="D8" s="5" t="s">
        <v>247</v>
      </c>
      <c r="E8" s="70" t="s">
        <v>69</v>
      </c>
      <c r="M8" t="s">
        <v>226</v>
      </c>
      <c r="N8" s="24"/>
      <c r="O8" s="24"/>
      <c r="P8" s="24"/>
      <c r="Q8" s="24"/>
      <c r="U8" s="76" t="s">
        <v>293</v>
      </c>
      <c r="V8" s="76" t="s">
        <v>305</v>
      </c>
      <c r="W8" s="76" t="s">
        <v>300</v>
      </c>
      <c r="X8" s="76" t="s">
        <v>304</v>
      </c>
      <c r="Y8" t="s">
        <v>287</v>
      </c>
      <c r="Z8">
        <v>8</v>
      </c>
    </row>
    <row r="9" spans="1:27" ht="60" x14ac:dyDescent="0.25">
      <c r="B9" t="s">
        <v>266</v>
      </c>
      <c r="C9" s="5" t="s">
        <v>268</v>
      </c>
      <c r="D9" s="5" t="s">
        <v>270</v>
      </c>
      <c r="E9" s="70" t="s">
        <v>69</v>
      </c>
      <c r="H9" s="64" t="s">
        <v>25</v>
      </c>
      <c r="I9" s="65" t="s">
        <v>26</v>
      </c>
      <c r="J9" s="65" t="s">
        <v>27</v>
      </c>
      <c r="K9" s="66" t="s">
        <v>34</v>
      </c>
      <c r="N9" s="24"/>
      <c r="O9" s="24"/>
      <c r="P9" s="24"/>
      <c r="Q9" s="24"/>
      <c r="U9" s="76" t="s">
        <v>293</v>
      </c>
      <c r="V9" s="76" t="s">
        <v>305</v>
      </c>
      <c r="W9" s="76" t="s">
        <v>300</v>
      </c>
      <c r="X9" s="76" t="s">
        <v>304</v>
      </c>
      <c r="Y9" t="s">
        <v>288</v>
      </c>
      <c r="Z9">
        <v>9</v>
      </c>
    </row>
    <row r="10" spans="1:27" x14ac:dyDescent="0.25">
      <c r="B10" t="s">
        <v>267</v>
      </c>
      <c r="C10" s="5" t="s">
        <v>269</v>
      </c>
      <c r="D10" s="5" t="s">
        <v>271</v>
      </c>
      <c r="E10" s="70" t="s">
        <v>69</v>
      </c>
      <c r="G10" t="s">
        <v>217</v>
      </c>
      <c r="H10" s="67" t="s">
        <v>218</v>
      </c>
      <c r="I10" s="31"/>
      <c r="J10" s="31"/>
      <c r="K10" s="68" t="s">
        <v>221</v>
      </c>
      <c r="N10" s="24"/>
      <c r="O10" s="24"/>
      <c r="P10" s="24"/>
      <c r="Q10" s="24"/>
    </row>
    <row r="11" spans="1:27" x14ac:dyDescent="0.25">
      <c r="H11" s="69" t="s">
        <v>219</v>
      </c>
      <c r="I11" s="25"/>
      <c r="J11" s="25"/>
      <c r="K11" s="68" t="s">
        <v>222</v>
      </c>
    </row>
    <row r="12" spans="1:27" x14ac:dyDescent="0.25">
      <c r="H12" s="67" t="s">
        <v>220</v>
      </c>
      <c r="I12" s="31"/>
      <c r="J12" s="31"/>
      <c r="K12" s="68" t="s">
        <v>223</v>
      </c>
      <c r="M12" t="s">
        <v>89</v>
      </c>
      <c r="N12" s="28" t="s">
        <v>25</v>
      </c>
      <c r="O12" s="26" t="s">
        <v>26</v>
      </c>
      <c r="P12" s="26" t="s">
        <v>27</v>
      </c>
      <c r="Q12" s="29" t="s">
        <v>34</v>
      </c>
    </row>
    <row r="13" spans="1:27" x14ac:dyDescent="0.25">
      <c r="A13" t="s">
        <v>70</v>
      </c>
      <c r="B13" s="26" t="s">
        <v>25</v>
      </c>
      <c r="C13" s="26" t="s">
        <v>26</v>
      </c>
      <c r="D13" s="26" t="s">
        <v>27</v>
      </c>
      <c r="E13" s="26" t="s">
        <v>34</v>
      </c>
      <c r="N13" t="s">
        <v>90</v>
      </c>
      <c r="O13" t="s">
        <v>91</v>
      </c>
      <c r="P13" t="s">
        <v>92</v>
      </c>
      <c r="Q13" t="s">
        <v>93</v>
      </c>
    </row>
    <row r="14" spans="1:27" x14ac:dyDescent="0.25">
      <c r="B14" s="25" t="s">
        <v>71</v>
      </c>
      <c r="C14" s="25" t="s">
        <v>73</v>
      </c>
      <c r="D14" s="25" t="s">
        <v>75</v>
      </c>
      <c r="E14" s="25" t="s">
        <v>77</v>
      </c>
      <c r="N14" t="s">
        <v>64</v>
      </c>
      <c r="O14" t="s">
        <v>182</v>
      </c>
      <c r="P14" t="s">
        <v>183</v>
      </c>
      <c r="Q14" t="s">
        <v>184</v>
      </c>
    </row>
    <row r="15" spans="1:27" x14ac:dyDescent="0.25">
      <c r="B15" s="27" t="s">
        <v>72</v>
      </c>
      <c r="C15" s="27" t="s">
        <v>74</v>
      </c>
      <c r="D15" s="27" t="s">
        <v>76</v>
      </c>
      <c r="E15" s="27" t="s">
        <v>78</v>
      </c>
      <c r="G15" t="s">
        <v>87</v>
      </c>
      <c r="H15" s="28" t="s">
        <v>25</v>
      </c>
      <c r="I15" s="26" t="s">
        <v>26</v>
      </c>
      <c r="J15" s="26" t="s">
        <v>27</v>
      </c>
      <c r="K15" s="29" t="s">
        <v>34</v>
      </c>
      <c r="N15" t="s">
        <v>185</v>
      </c>
      <c r="O15" t="s">
        <v>186</v>
      </c>
      <c r="P15" t="s">
        <v>187</v>
      </c>
      <c r="Q15" t="s">
        <v>189</v>
      </c>
    </row>
    <row r="16" spans="1:27" x14ac:dyDescent="0.25">
      <c r="H16" t="s">
        <v>193</v>
      </c>
      <c r="I16" t="s">
        <v>199</v>
      </c>
      <c r="J16" t="s">
        <v>200</v>
      </c>
      <c r="K16" t="s">
        <v>201</v>
      </c>
      <c r="N16" t="s">
        <v>191</v>
      </c>
      <c r="O16" t="s">
        <v>192</v>
      </c>
      <c r="P16" t="s">
        <v>188</v>
      </c>
      <c r="Q16" t="s">
        <v>190</v>
      </c>
    </row>
    <row r="17" spans="1:17" x14ac:dyDescent="0.25">
      <c r="A17" t="s">
        <v>86</v>
      </c>
      <c r="B17" s="28" t="s">
        <v>25</v>
      </c>
      <c r="C17" s="26" t="s">
        <v>26</v>
      </c>
      <c r="D17" s="26" t="s">
        <v>27</v>
      </c>
      <c r="E17" s="29" t="s">
        <v>34</v>
      </c>
      <c r="H17" t="s">
        <v>5</v>
      </c>
      <c r="I17" t="s">
        <v>88</v>
      </c>
      <c r="J17" t="s">
        <v>163</v>
      </c>
      <c r="K17" t="s">
        <v>162</v>
      </c>
      <c r="N17" t="s">
        <v>15</v>
      </c>
      <c r="O17" t="s">
        <v>38</v>
      </c>
      <c r="P17" t="s">
        <v>40</v>
      </c>
      <c r="Q17" t="s">
        <v>39</v>
      </c>
    </row>
    <row r="18" spans="1:17" x14ac:dyDescent="0.25">
      <c r="B18" t="s">
        <v>79</v>
      </c>
      <c r="C18" t="s">
        <v>81</v>
      </c>
      <c r="D18" t="s">
        <v>85</v>
      </c>
      <c r="E18" t="s">
        <v>83</v>
      </c>
      <c r="H18" t="s">
        <v>20</v>
      </c>
      <c r="I18" t="s">
        <v>164</v>
      </c>
      <c r="J18" t="s">
        <v>165</v>
      </c>
      <c r="K18" t="s">
        <v>166</v>
      </c>
      <c r="N18" t="s">
        <v>236</v>
      </c>
      <c r="O18" t="s">
        <v>224</v>
      </c>
      <c r="P18" t="s">
        <v>194</v>
      </c>
      <c r="Q18" t="s">
        <v>195</v>
      </c>
    </row>
    <row r="19" spans="1:17" x14ac:dyDescent="0.25">
      <c r="B19" t="s">
        <v>80</v>
      </c>
      <c r="C19" t="s">
        <v>84</v>
      </c>
      <c r="D19" t="s">
        <v>82</v>
      </c>
      <c r="E19" t="s">
        <v>82</v>
      </c>
      <c r="H19" t="s">
        <v>70</v>
      </c>
      <c r="I19" t="s">
        <v>167</v>
      </c>
      <c r="J19" t="s">
        <v>168</v>
      </c>
      <c r="K19" t="s">
        <v>167</v>
      </c>
      <c r="N19" s="24" t="s">
        <v>235</v>
      </c>
      <c r="O19" s="24" t="s">
        <v>235</v>
      </c>
      <c r="P19" s="24" t="s">
        <v>235</v>
      </c>
      <c r="Q19" s="24" t="s">
        <v>235</v>
      </c>
    </row>
    <row r="20" spans="1:17" x14ac:dyDescent="0.25">
      <c r="H20" t="s">
        <v>169</v>
      </c>
      <c r="I20" t="s">
        <v>172</v>
      </c>
      <c r="J20" t="s">
        <v>170</v>
      </c>
      <c r="K20" t="s">
        <v>171</v>
      </c>
    </row>
    <row r="21" spans="1:17" x14ac:dyDescent="0.25">
      <c r="H21" t="s">
        <v>11</v>
      </c>
      <c r="I21" t="s">
        <v>173</v>
      </c>
      <c r="J21" t="s">
        <v>174</v>
      </c>
      <c r="K21" t="s">
        <v>175</v>
      </c>
    </row>
    <row r="22" spans="1:17" x14ac:dyDescent="0.25">
      <c r="H22" t="s">
        <v>176</v>
      </c>
      <c r="I22" t="s">
        <v>177</v>
      </c>
      <c r="J22" t="s">
        <v>12</v>
      </c>
      <c r="K22" t="s">
        <v>176</v>
      </c>
    </row>
    <row r="23" spans="1:17" x14ac:dyDescent="0.25">
      <c r="H23" t="s">
        <v>178</v>
      </c>
      <c r="I23" t="s">
        <v>181</v>
      </c>
      <c r="J23" t="s">
        <v>179</v>
      </c>
      <c r="K23" t="s">
        <v>180</v>
      </c>
    </row>
    <row r="24" spans="1:17" x14ac:dyDescent="0.25">
      <c r="F24" t="s">
        <v>98</v>
      </c>
    </row>
    <row r="25" spans="1:17" x14ac:dyDescent="0.25">
      <c r="A25" t="s">
        <v>94</v>
      </c>
      <c r="B25" s="28" t="s">
        <v>25</v>
      </c>
      <c r="C25" s="26" t="s">
        <v>26</v>
      </c>
      <c r="D25" s="26" t="s">
        <v>27</v>
      </c>
      <c r="E25" s="29" t="s">
        <v>34</v>
      </c>
      <c r="F25">
        <f>IF(Anmeldung!E3="DE",1,IF(Anmeldung!E3="FR",2,IF(Anmeldung!E3="IT",3,IF(Anmeldung!E3="EN",4,""))))</f>
        <v>1</v>
      </c>
      <c r="M25" t="s">
        <v>101</v>
      </c>
      <c r="N25" s="28" t="s">
        <v>25</v>
      </c>
      <c r="O25" s="26" t="s">
        <v>26</v>
      </c>
      <c r="P25" s="26" t="s">
        <v>27</v>
      </c>
      <c r="Q25" s="29" t="s">
        <v>34</v>
      </c>
    </row>
    <row r="26" spans="1:17" x14ac:dyDescent="0.25">
      <c r="A26">
        <v>2</v>
      </c>
      <c r="B26" t="s">
        <v>24</v>
      </c>
      <c r="C26" t="s">
        <v>59</v>
      </c>
      <c r="D26" t="s">
        <v>60</v>
      </c>
      <c r="E26" t="s">
        <v>61</v>
      </c>
      <c r="N26" t="s">
        <v>99</v>
      </c>
      <c r="O26" t="s">
        <v>102</v>
      </c>
      <c r="P26" t="s">
        <v>104</v>
      </c>
      <c r="Q26" t="s">
        <v>103</v>
      </c>
    </row>
    <row r="27" spans="1:17" ht="15" customHeight="1" x14ac:dyDescent="0.25">
      <c r="A27">
        <v>3</v>
      </c>
      <c r="B27" t="s">
        <v>210</v>
      </c>
      <c r="C27" t="s">
        <v>28</v>
      </c>
      <c r="D27" t="s">
        <v>29</v>
      </c>
      <c r="E27" t="s">
        <v>30</v>
      </c>
      <c r="N27" s="24" t="s">
        <v>137</v>
      </c>
      <c r="O27" s="24" t="s">
        <v>140</v>
      </c>
      <c r="P27" s="24" t="s">
        <v>139</v>
      </c>
      <c r="Q27" s="24" t="s">
        <v>138</v>
      </c>
    </row>
    <row r="28" spans="1:17" ht="15" customHeight="1" x14ac:dyDescent="0.25">
      <c r="A28">
        <v>4</v>
      </c>
      <c r="B28" t="s">
        <v>14</v>
      </c>
      <c r="C28" t="s">
        <v>32</v>
      </c>
      <c r="D28" t="s">
        <v>33</v>
      </c>
      <c r="E28" t="s">
        <v>31</v>
      </c>
      <c r="G28" t="s">
        <v>113</v>
      </c>
      <c r="H28" s="26" t="s">
        <v>25</v>
      </c>
      <c r="I28" s="26" t="s">
        <v>26</v>
      </c>
      <c r="J28" s="26" t="s">
        <v>27</v>
      </c>
      <c r="K28" s="26" t="s">
        <v>34</v>
      </c>
      <c r="N28" s="24" t="s">
        <v>225</v>
      </c>
      <c r="O28" s="24" t="s">
        <v>141</v>
      </c>
      <c r="P28" s="24" t="s">
        <v>142</v>
      </c>
      <c r="Q28" s="24" t="s">
        <v>143</v>
      </c>
    </row>
    <row r="29" spans="1:17" ht="15" customHeight="1" x14ac:dyDescent="0.25">
      <c r="A29">
        <v>5</v>
      </c>
      <c r="B29" t="s">
        <v>89</v>
      </c>
      <c r="C29" t="s">
        <v>96</v>
      </c>
      <c r="D29" t="s">
        <v>95</v>
      </c>
      <c r="E29" t="s">
        <v>97</v>
      </c>
      <c r="H29" s="31" t="s">
        <v>156</v>
      </c>
      <c r="I29" s="31" t="s">
        <v>157</v>
      </c>
      <c r="J29" s="31" t="s">
        <v>158</v>
      </c>
      <c r="K29" s="31" t="s">
        <v>156</v>
      </c>
      <c r="N29" s="24" t="s">
        <v>144</v>
      </c>
      <c r="O29" s="24" t="s">
        <v>146</v>
      </c>
      <c r="P29" s="24" t="s">
        <v>145</v>
      </c>
      <c r="Q29" s="24" t="s">
        <v>147</v>
      </c>
    </row>
    <row r="30" spans="1:17" x14ac:dyDescent="0.25">
      <c r="A30">
        <v>6</v>
      </c>
      <c r="B30" t="s">
        <v>100</v>
      </c>
      <c r="C30" t="s">
        <v>105</v>
      </c>
      <c r="D30" t="s">
        <v>107</v>
      </c>
      <c r="E30" t="s">
        <v>106</v>
      </c>
      <c r="H30" t="s">
        <v>193</v>
      </c>
      <c r="I30" t="s">
        <v>199</v>
      </c>
      <c r="J30" t="s">
        <v>200</v>
      </c>
      <c r="K30" t="s">
        <v>201</v>
      </c>
      <c r="N30" s="24" t="s">
        <v>272</v>
      </c>
      <c r="O30" s="24"/>
      <c r="P30" s="24"/>
      <c r="Q30" s="24"/>
    </row>
    <row r="31" spans="1:17" x14ac:dyDescent="0.25">
      <c r="A31">
        <v>7</v>
      </c>
      <c r="B31" t="s">
        <v>108</v>
      </c>
      <c r="C31" t="s">
        <v>109</v>
      </c>
      <c r="D31" t="s">
        <v>110</v>
      </c>
      <c r="E31" t="s">
        <v>111</v>
      </c>
      <c r="H31" s="27" t="s">
        <v>176</v>
      </c>
      <c r="I31" s="27" t="s">
        <v>177</v>
      </c>
      <c r="J31" s="27" t="s">
        <v>12</v>
      </c>
      <c r="K31" s="27" t="s">
        <v>176</v>
      </c>
      <c r="N31" s="24" t="s">
        <v>291</v>
      </c>
      <c r="O31" s="24" t="s">
        <v>279</v>
      </c>
      <c r="P31" s="24" t="s">
        <v>280</v>
      </c>
      <c r="Q31" s="24" t="s">
        <v>278</v>
      </c>
    </row>
    <row r="32" spans="1:17" x14ac:dyDescent="0.25">
      <c r="A32">
        <v>8</v>
      </c>
      <c r="B32" t="s">
        <v>152</v>
      </c>
      <c r="C32" t="s">
        <v>153</v>
      </c>
      <c r="D32" t="s">
        <v>155</v>
      </c>
      <c r="E32" t="s">
        <v>154</v>
      </c>
      <c r="H32" t="s">
        <v>11</v>
      </c>
      <c r="I32" t="s">
        <v>173</v>
      </c>
      <c r="J32" t="s">
        <v>174</v>
      </c>
      <c r="K32" t="s">
        <v>175</v>
      </c>
      <c r="N32" s="24" t="s">
        <v>277</v>
      </c>
      <c r="O32" s="24" t="s">
        <v>282</v>
      </c>
      <c r="P32" s="24" t="s">
        <v>281</v>
      </c>
      <c r="Q32" s="24" t="s">
        <v>283</v>
      </c>
    </row>
    <row r="33" spans="1:17" x14ac:dyDescent="0.25">
      <c r="A33">
        <v>9</v>
      </c>
      <c r="B33" t="s">
        <v>133</v>
      </c>
      <c r="C33" t="s">
        <v>45</v>
      </c>
      <c r="D33" t="s">
        <v>44</v>
      </c>
      <c r="E33" t="s">
        <v>43</v>
      </c>
      <c r="N33" s="24" t="s">
        <v>273</v>
      </c>
      <c r="O33" s="24" t="s">
        <v>274</v>
      </c>
      <c r="P33" s="24" t="s">
        <v>275</v>
      </c>
      <c r="Q33" s="24" t="s">
        <v>276</v>
      </c>
    </row>
    <row r="34" spans="1:17" x14ac:dyDescent="0.25">
      <c r="A34">
        <v>10</v>
      </c>
      <c r="B34" t="s">
        <v>16</v>
      </c>
      <c r="C34" t="s">
        <v>56</v>
      </c>
      <c r="D34" t="s">
        <v>57</v>
      </c>
      <c r="E34" t="s">
        <v>58</v>
      </c>
      <c r="G34" t="s">
        <v>120</v>
      </c>
      <c r="H34" s="28" t="s">
        <v>25</v>
      </c>
      <c r="I34" s="26" t="s">
        <v>26</v>
      </c>
      <c r="J34" s="26" t="s">
        <v>27</v>
      </c>
      <c r="K34" s="29" t="s">
        <v>34</v>
      </c>
    </row>
    <row r="35" spans="1:17" x14ac:dyDescent="0.25">
      <c r="A35">
        <v>11</v>
      </c>
      <c r="B35" t="s">
        <v>1</v>
      </c>
      <c r="C35" t="s">
        <v>112</v>
      </c>
      <c r="D35" t="s">
        <v>41</v>
      </c>
      <c r="E35" t="s">
        <v>42</v>
      </c>
      <c r="H35" t="s">
        <v>122</v>
      </c>
      <c r="I35" t="s">
        <v>124</v>
      </c>
      <c r="J35" t="s">
        <v>126</v>
      </c>
      <c r="K35" t="s">
        <v>125</v>
      </c>
    </row>
    <row r="36" spans="1:17" x14ac:dyDescent="0.25">
      <c r="A36">
        <v>12</v>
      </c>
      <c r="B36" t="s">
        <v>156</v>
      </c>
      <c r="C36" t="s">
        <v>157</v>
      </c>
      <c r="D36" t="s">
        <v>158</v>
      </c>
      <c r="E36" t="s">
        <v>156</v>
      </c>
      <c r="H36" t="s">
        <v>121</v>
      </c>
      <c r="I36" t="s">
        <v>129</v>
      </c>
      <c r="J36" t="s">
        <v>127</v>
      </c>
      <c r="K36" t="s">
        <v>128</v>
      </c>
    </row>
    <row r="37" spans="1:17" x14ac:dyDescent="0.25">
      <c r="A37">
        <v>13</v>
      </c>
      <c r="B37" t="s">
        <v>159</v>
      </c>
      <c r="C37" t="s">
        <v>161</v>
      </c>
      <c r="D37" t="s">
        <v>160</v>
      </c>
      <c r="E37" t="s">
        <v>161</v>
      </c>
      <c r="H37" t="s">
        <v>123</v>
      </c>
      <c r="I37" t="s">
        <v>130</v>
      </c>
      <c r="J37" t="s">
        <v>130</v>
      </c>
      <c r="K37" t="s">
        <v>131</v>
      </c>
    </row>
    <row r="38" spans="1:17" x14ac:dyDescent="0.25">
      <c r="A38">
        <v>14</v>
      </c>
      <c r="B38" t="s">
        <v>115</v>
      </c>
      <c r="C38" t="s">
        <v>116</v>
      </c>
      <c r="D38" t="s">
        <v>118</v>
      </c>
      <c r="E38" t="s">
        <v>117</v>
      </c>
    </row>
    <row r="39" spans="1:17" x14ac:dyDescent="0.25">
      <c r="A39">
        <v>15</v>
      </c>
      <c r="B39" t="s">
        <v>251</v>
      </c>
      <c r="C39" t="s">
        <v>252</v>
      </c>
      <c r="D39" t="s">
        <v>253</v>
      </c>
      <c r="E39" t="s">
        <v>119</v>
      </c>
    </row>
    <row r="40" spans="1:17" x14ac:dyDescent="0.25">
      <c r="A40">
        <v>16</v>
      </c>
      <c r="B40" t="s">
        <v>134</v>
      </c>
      <c r="C40" t="s">
        <v>136</v>
      </c>
      <c r="D40" t="s">
        <v>136</v>
      </c>
      <c r="E40" t="s">
        <v>136</v>
      </c>
    </row>
    <row r="41" spans="1:17" x14ac:dyDescent="0.25">
      <c r="A41">
        <v>17</v>
      </c>
      <c r="B41" t="s">
        <v>135</v>
      </c>
      <c r="C41" t="s">
        <v>135</v>
      </c>
      <c r="D41" t="s">
        <v>135</v>
      </c>
      <c r="E41" t="s">
        <v>135</v>
      </c>
    </row>
    <row r="42" spans="1:17" x14ac:dyDescent="0.25">
      <c r="A42">
        <v>18</v>
      </c>
      <c r="B42" t="s">
        <v>206</v>
      </c>
      <c r="C42" t="s">
        <v>207</v>
      </c>
      <c r="D42" t="s">
        <v>209</v>
      </c>
      <c r="E42" t="s">
        <v>208</v>
      </c>
    </row>
    <row r="43" spans="1:17" x14ac:dyDescent="0.25">
      <c r="A43">
        <v>19</v>
      </c>
      <c r="B43" t="s">
        <v>241</v>
      </c>
      <c r="C43" t="s">
        <v>248</v>
      </c>
      <c r="D43" t="s">
        <v>249</v>
      </c>
    </row>
    <row r="44" spans="1:17" x14ac:dyDescent="0.25">
      <c r="A44">
        <v>20</v>
      </c>
      <c r="B44" t="s">
        <v>202</v>
      </c>
      <c r="C44" t="s">
        <v>204</v>
      </c>
      <c r="D44" t="s">
        <v>203</v>
      </c>
      <c r="E44" t="s">
        <v>205</v>
      </c>
    </row>
    <row r="45" spans="1:17" x14ac:dyDescent="0.25">
      <c r="A45">
        <v>21</v>
      </c>
    </row>
    <row r="46" spans="1:17" x14ac:dyDescent="0.25">
      <c r="A46">
        <v>22</v>
      </c>
    </row>
    <row r="47" spans="1:17" x14ac:dyDescent="0.25">
      <c r="A47">
        <v>23</v>
      </c>
    </row>
    <row r="48" spans="1:17" x14ac:dyDescent="0.25">
      <c r="A48">
        <v>24</v>
      </c>
    </row>
  </sheetData>
  <autoFilter ref="H9:K9" xr:uid="{623A43C3-A671-461E-A65F-C916C581E39D}"/>
  <phoneticPr fontId="28" type="noConversion"/>
  <pageMargins left="0.7" right="0.7" top="0.78740157499999996" bottom="0.78740157499999996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A202-EDC7-4E64-B028-07511AE20C63}">
  <sheetPr codeName="Tabelle7"/>
  <dimension ref="A1:Y3"/>
  <sheetViews>
    <sheetView topLeftCell="D1" workbookViewId="0">
      <selection activeCell="W12" sqref="W12"/>
    </sheetView>
  </sheetViews>
  <sheetFormatPr baseColWidth="10" defaultRowHeight="15" x14ac:dyDescent="0.25"/>
  <cols>
    <col min="10" max="10" width="12.28515625" customWidth="1"/>
    <col min="11" max="11" width="12.5703125" customWidth="1"/>
    <col min="12" max="12" width="13" customWidth="1"/>
    <col min="13" max="13" width="13.42578125" customWidth="1"/>
    <col min="16" max="16" width="10.5703125" customWidth="1"/>
    <col min="25" max="25" width="13.85546875" customWidth="1"/>
  </cols>
  <sheetData>
    <row r="1" spans="1:25" ht="26.25" x14ac:dyDescent="0.4">
      <c r="A1" s="8"/>
      <c r="B1" s="8"/>
      <c r="C1" s="8"/>
      <c r="G1" s="8"/>
    </row>
    <row r="2" spans="1:25" ht="60" x14ac:dyDescent="0.25">
      <c r="A2" s="1" t="s">
        <v>193</v>
      </c>
      <c r="B2" s="2" t="s">
        <v>5</v>
      </c>
      <c r="C2" s="2" t="s">
        <v>20</v>
      </c>
      <c r="D2" s="2" t="s">
        <v>70</v>
      </c>
      <c r="E2" s="2" t="s">
        <v>63</v>
      </c>
      <c r="F2" s="2" t="s">
        <v>62</v>
      </c>
      <c r="G2" s="2" t="s">
        <v>11</v>
      </c>
      <c r="H2" s="2" t="s">
        <v>12</v>
      </c>
      <c r="I2" s="2" t="s">
        <v>17</v>
      </c>
      <c r="J2" s="2" t="s">
        <v>254</v>
      </c>
      <c r="K2" s="2" t="s">
        <v>256</v>
      </c>
      <c r="L2" s="2" t="s">
        <v>257</v>
      </c>
      <c r="M2" s="2" t="s">
        <v>255</v>
      </c>
      <c r="N2" s="2" t="s">
        <v>90</v>
      </c>
      <c r="O2" s="2" t="s">
        <v>64</v>
      </c>
      <c r="P2" s="125" t="s">
        <v>6</v>
      </c>
      <c r="Q2" s="125"/>
      <c r="R2" s="2" t="s">
        <v>7</v>
      </c>
      <c r="S2" s="63" t="s">
        <v>19</v>
      </c>
      <c r="T2" s="2" t="s">
        <v>8</v>
      </c>
      <c r="U2" s="2" t="s">
        <v>9</v>
      </c>
      <c r="V2" s="2" t="s">
        <v>10</v>
      </c>
      <c r="W2" s="1"/>
      <c r="X2" s="15" t="s">
        <v>18</v>
      </c>
      <c r="Y2" s="15" t="s">
        <v>24</v>
      </c>
    </row>
    <row r="3" spans="1:25" ht="20.25" customHeight="1" x14ac:dyDescent="0.25">
      <c r="A3" s="7">
        <f>Anmeldung!D14</f>
        <v>0</v>
      </c>
      <c r="B3" s="7">
        <f>Anmeldung!D15</f>
        <v>0</v>
      </c>
      <c r="C3" s="7">
        <f>Anmeldung!D16</f>
        <v>0</v>
      </c>
      <c r="D3" s="7" t="str">
        <f>Anmeldung!D17</f>
        <v>Herr</v>
      </c>
      <c r="E3" s="7">
        <f>Anmeldung!G18</f>
        <v>0</v>
      </c>
      <c r="F3" s="9">
        <f>Anmeldung!D18</f>
        <v>0</v>
      </c>
      <c r="G3" s="9">
        <f>Anmeldung!D19</f>
        <v>0</v>
      </c>
      <c r="H3" s="9">
        <f>Anmeldung!D20</f>
        <v>0</v>
      </c>
      <c r="I3" s="9">
        <f>Anmeldung!D21</f>
        <v>0</v>
      </c>
      <c r="J3" s="9">
        <f>Anmeldung!D9</f>
        <v>0</v>
      </c>
      <c r="K3" s="9">
        <f>Anmeldung!D10</f>
        <v>0</v>
      </c>
      <c r="L3" s="9">
        <f>Anmeldung!D11</f>
        <v>0</v>
      </c>
      <c r="M3" s="9">
        <f>Anmeldung!D12</f>
        <v>0</v>
      </c>
      <c r="N3" s="42" t="str">
        <f>Anmeldung!D24</f>
        <v>Berechnung</v>
      </c>
      <c r="O3" s="42" t="str">
        <f>Anmeldung!D23</f>
        <v>select</v>
      </c>
      <c r="P3" s="10">
        <f>Anmeldung!D25</f>
        <v>0</v>
      </c>
      <c r="Q3" s="10">
        <f>Anmeldung!D26</f>
        <v>0</v>
      </c>
      <c r="R3" s="10">
        <f>Anmeldung!D27</f>
        <v>0</v>
      </c>
      <c r="S3" s="10">
        <f>R3*15*0.75</f>
        <v>0</v>
      </c>
      <c r="T3" s="11">
        <f>Anmeldung!D49</f>
        <v>0</v>
      </c>
      <c r="U3" s="7">
        <f>Anmeldung!D33</f>
        <v>0</v>
      </c>
      <c r="V3" s="12">
        <f>Anmeldung!D36</f>
        <v>0</v>
      </c>
      <c r="W3" s="13"/>
      <c r="X3" s="14">
        <f>Anmeldung!C30</f>
        <v>0</v>
      </c>
      <c r="Y3" s="14" t="str">
        <f>Anmeldung!E3</f>
        <v>DE</v>
      </c>
    </row>
  </sheetData>
  <mergeCells count="1">
    <mergeCell ref="P2:Q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7800-7E91-4FE0-989D-924614BBD262}">
  <dimension ref="A1:H17"/>
  <sheetViews>
    <sheetView workbookViewId="0">
      <selection activeCell="C47" sqref="C47"/>
    </sheetView>
  </sheetViews>
  <sheetFormatPr baseColWidth="10" defaultRowHeight="15" x14ac:dyDescent="0.25"/>
  <sheetData>
    <row r="1" spans="1:8" x14ac:dyDescent="0.25">
      <c r="A1" t="s">
        <v>237</v>
      </c>
    </row>
    <row r="3" spans="1:8" x14ac:dyDescent="0.25">
      <c r="A3" t="s">
        <v>64</v>
      </c>
    </row>
    <row r="4" spans="1:8" x14ac:dyDescent="0.25">
      <c r="A4">
        <v>2</v>
      </c>
      <c r="B4" t="s">
        <v>238</v>
      </c>
      <c r="C4" t="s">
        <v>239</v>
      </c>
      <c r="D4" t="s">
        <v>240</v>
      </c>
      <c r="F4" t="s">
        <v>238</v>
      </c>
      <c r="G4" t="s">
        <v>239</v>
      </c>
      <c r="H4" t="s">
        <v>240</v>
      </c>
    </row>
    <row r="5" spans="1:8" x14ac:dyDescent="0.25">
      <c r="B5">
        <v>2700</v>
      </c>
      <c r="C5">
        <v>16400</v>
      </c>
      <c r="D5">
        <v>27400</v>
      </c>
      <c r="F5">
        <v>2700</v>
      </c>
      <c r="G5">
        <v>16400</v>
      </c>
      <c r="H5">
        <v>27400</v>
      </c>
    </row>
    <row r="7" spans="1:8" x14ac:dyDescent="0.25">
      <c r="A7">
        <v>3</v>
      </c>
      <c r="B7" t="s">
        <v>238</v>
      </c>
      <c r="C7" t="s">
        <v>239</v>
      </c>
      <c r="D7" t="s">
        <v>240</v>
      </c>
      <c r="F7" t="s">
        <v>238</v>
      </c>
      <c r="G7" t="s">
        <v>239</v>
      </c>
      <c r="H7" t="s">
        <v>240</v>
      </c>
    </row>
    <row r="8" spans="1:8" x14ac:dyDescent="0.25">
      <c r="B8">
        <v>835</v>
      </c>
      <c r="C8">
        <v>5010</v>
      </c>
      <c r="D8">
        <v>0</v>
      </c>
      <c r="F8">
        <v>835</v>
      </c>
      <c r="G8">
        <v>5010</v>
      </c>
      <c r="H8">
        <v>0</v>
      </c>
    </row>
    <row r="10" spans="1:8" x14ac:dyDescent="0.25">
      <c r="A10">
        <v>4</v>
      </c>
      <c r="B10" t="s">
        <v>238</v>
      </c>
      <c r="C10" t="s">
        <v>239</v>
      </c>
      <c r="D10" t="s">
        <v>240</v>
      </c>
      <c r="F10" t="s">
        <v>238</v>
      </c>
      <c r="G10" t="s">
        <v>239</v>
      </c>
      <c r="H10" t="s">
        <v>240</v>
      </c>
    </row>
    <row r="11" spans="1:8" x14ac:dyDescent="0.25">
      <c r="B11">
        <v>2004</v>
      </c>
      <c r="C11">
        <v>16700</v>
      </c>
      <c r="D11">
        <v>20000</v>
      </c>
      <c r="F11">
        <v>2004</v>
      </c>
      <c r="G11">
        <v>16700</v>
      </c>
      <c r="H11">
        <v>20000</v>
      </c>
    </row>
    <row r="13" spans="1:8" x14ac:dyDescent="0.25">
      <c r="A13">
        <v>5</v>
      </c>
      <c r="B13" t="s">
        <v>238</v>
      </c>
      <c r="C13" t="s">
        <v>239</v>
      </c>
      <c r="D13" t="s">
        <v>240</v>
      </c>
      <c r="F13" t="s">
        <v>238</v>
      </c>
      <c r="G13" t="s">
        <v>239</v>
      </c>
      <c r="H13" t="s">
        <v>240</v>
      </c>
    </row>
    <row r="14" spans="1:8" x14ac:dyDescent="0.25">
      <c r="B14">
        <v>2004</v>
      </c>
      <c r="C14">
        <v>2040</v>
      </c>
      <c r="D14">
        <v>30000</v>
      </c>
      <c r="F14">
        <v>2004</v>
      </c>
      <c r="G14">
        <v>20400</v>
      </c>
      <c r="H14">
        <v>30000</v>
      </c>
    </row>
    <row r="16" spans="1:8" x14ac:dyDescent="0.25">
      <c r="A16">
        <v>6</v>
      </c>
      <c r="B16" t="s">
        <v>238</v>
      </c>
      <c r="C16" t="s">
        <v>239</v>
      </c>
      <c r="D16" t="s">
        <v>240</v>
      </c>
      <c r="F16" t="s">
        <v>238</v>
      </c>
      <c r="G16" t="s">
        <v>239</v>
      </c>
      <c r="H16" t="s">
        <v>240</v>
      </c>
    </row>
    <row r="17" spans="2:8" x14ac:dyDescent="0.25">
      <c r="B17">
        <v>1002</v>
      </c>
      <c r="C17">
        <v>9519</v>
      </c>
      <c r="D17">
        <v>13500</v>
      </c>
      <c r="F17">
        <v>1002</v>
      </c>
      <c r="G17">
        <v>9519</v>
      </c>
      <c r="H17">
        <v>13500</v>
      </c>
    </row>
  </sheetData>
  <pageMargins left="0.7" right="0.7" top="0.78740157499999996" bottom="0.78740157499999996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C4F1CD-EA30-4B61-B76E-3B1D752426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Anmeldung</vt:lpstr>
      <vt:lpstr>Sprachen</vt:lpstr>
      <vt:lpstr>Export</vt:lpstr>
      <vt:lpstr>Einsparungen_pauschal</vt:lpstr>
      <vt:lpstr>Anmeldung!Druckbereich</vt:lpstr>
      <vt:lpstr>Anmeldung!Massn5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Elmar Wiss</dc:creator>
  <cp:lastModifiedBy>Adrian Burri</cp:lastModifiedBy>
  <dcterms:created xsi:type="dcterms:W3CDTF">2006-09-16T00:00:00Z</dcterms:created>
  <dcterms:modified xsi:type="dcterms:W3CDTF">2024-07-30T05:53:14Z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19bc2682-5f16-40eb-9f42-4f51a441ab7d</vt:lpwstr>
  </property>
</Properties>
</file>